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ölkerung - Strukturerhebung\2024\"/>
    </mc:Choice>
  </mc:AlternateContent>
  <xr:revisionPtr revIDLastSave="0" documentId="13_ncr:1_{BB79F653-ECF7-4E22-9403-258BD7A8E28A}" xr6:coauthVersionLast="47" xr6:coauthVersionMax="47" xr10:uidLastSave="{00000000-0000-0000-0000-000000000000}"/>
  <workbookProtection lockStructure="1"/>
  <bookViews>
    <workbookView xWindow="-105" yWindow="0" windowWidth="26010" windowHeight="20985" xr2:uid="{00000000-000D-0000-FFFF-FFFF00000000}"/>
  </bookViews>
  <sheets>
    <sheet name="2024" sheetId="1" r:id="rId1"/>
    <sheet name="Uebersetzunge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" i="1" l="1"/>
  <c r="B44" i="1" l="1"/>
  <c r="A57" i="1" l="1"/>
  <c r="I14" i="1"/>
  <c r="E14" i="1"/>
  <c r="C14" i="1"/>
  <c r="B47" i="1" l="1"/>
  <c r="B48" i="1"/>
  <c r="B46" i="1"/>
  <c r="B45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A16" i="1"/>
  <c r="A50" i="1"/>
  <c r="A46" i="1"/>
  <c r="A35" i="1"/>
  <c r="A32" i="1"/>
  <c r="A27" i="1"/>
  <c r="A22" i="1"/>
  <c r="A18" i="1"/>
  <c r="A15" i="1"/>
  <c r="A56" i="1"/>
  <c r="A51" i="1"/>
  <c r="U13" i="1"/>
  <c r="S13" i="1"/>
  <c r="Q13" i="1"/>
  <c r="O13" i="1"/>
  <c r="M13" i="1"/>
  <c r="K13" i="1"/>
  <c r="I13" i="1"/>
  <c r="G13" i="1"/>
  <c r="E13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H14" i="1"/>
  <c r="G14" i="1"/>
  <c r="F14" i="1"/>
  <c r="D14" i="1"/>
  <c r="C13" i="1"/>
  <c r="A10" i="1"/>
  <c r="A9" i="1"/>
  <c r="A7" i="1"/>
  <c r="A52" i="1" l="1"/>
  <c r="A53" i="1"/>
</calcChain>
</file>

<file path=xl/sharedStrings.xml><?xml version="1.0" encoding="utf-8"?>
<sst xmlns="http://schemas.openxmlformats.org/spreadsheetml/2006/main" count="521" uniqueCount="250">
  <si>
    <t>Total</t>
  </si>
  <si>
    <t>Geschlecht</t>
  </si>
  <si>
    <t>Männer</t>
  </si>
  <si>
    <t>Frauen</t>
  </si>
  <si>
    <t>Alter</t>
  </si>
  <si>
    <t>15-24</t>
  </si>
  <si>
    <t>25-44</t>
  </si>
  <si>
    <t>45-64</t>
  </si>
  <si>
    <t>65 und mehr</t>
  </si>
  <si>
    <t>Staatsangehörigkeit</t>
  </si>
  <si>
    <t>Schweiz</t>
  </si>
  <si>
    <t>Anderer europäischer Staat</t>
  </si>
  <si>
    <t>Aussereuropäischer Staat</t>
  </si>
  <si>
    <t>Migrationsstatus</t>
  </si>
  <si>
    <t>Schweizer/innen ohne Migrationshintergrund</t>
  </si>
  <si>
    <t>Schweizer/innen mit Migrationshintergrund</t>
  </si>
  <si>
    <t>Ausländer/innen der ersten Generation</t>
  </si>
  <si>
    <t>Ausländer/innen der zweiten und höheren Generation</t>
  </si>
  <si>
    <t>Migrationshintergrund unbekannt</t>
  </si>
  <si>
    <t>Arbeitsmarktstatus</t>
  </si>
  <si>
    <t>Erwerbstätige</t>
  </si>
  <si>
    <t>Erwerbslose</t>
  </si>
  <si>
    <t>Nichterwerbspersonen</t>
  </si>
  <si>
    <t>Oberstes Management</t>
  </si>
  <si>
    <t>Freie und gleichgestellte Berufe</t>
  </si>
  <si>
    <t>Andere Selbstständige</t>
  </si>
  <si>
    <t>Akademische Berufe und oberes Kader</t>
  </si>
  <si>
    <t>Intermediäre Berufe</t>
  </si>
  <si>
    <t>Qualifizierte nichtmanuelle Berufe</t>
  </si>
  <si>
    <t>Qualifizierte manuelle Berufe</t>
  </si>
  <si>
    <t>Lernende in dualer beruflicher Grundbildung (Lehrlinge)</t>
  </si>
  <si>
    <t>Erwerbslose und Nichterwerbspersonen</t>
  </si>
  <si>
    <t>Tertiärstufe</t>
  </si>
  <si>
    <t>(): Extrapolation aufgrund von 49 oder weniger Beobachtungen. Die Resultate sind mit grosser Vorsicht zu interpretieren.</t>
  </si>
  <si>
    <t>X: Extrapolation aufgrund von 4 oder weniger Beobachtungen. Die Resultate werden aus Gründen des Datenschutzes nicht publiziert.</t>
  </si>
  <si>
    <t>Die Grundgesamtheit der Strukturerhebung enthält alle Personen der ständigen Wohnbevölkerung ab vollendetem 15. Altersjahr, die in Privathaushalten leben.</t>
  </si>
  <si>
    <t>Aus der Grundgesamtheit ausgeschlossen wurden neben den Personen, die in Kollektivhaushalten leben, auch Diplomaten, internationale Funktionäre und deren Angehörige.</t>
  </si>
  <si>
    <t>Quelle: BFS (Strukturerhebung)</t>
  </si>
  <si>
    <t>Staatsangehörigkeit unbekannt</t>
  </si>
  <si>
    <t>Sekundarstufe II</t>
  </si>
  <si>
    <t>Römisch-katholisch</t>
  </si>
  <si>
    <t>Evangelisch-reformiert</t>
  </si>
  <si>
    <t>Andere christliche Glaubensgemeinschaften</t>
  </si>
  <si>
    <t>Christkatholisch (altkatholisch)</t>
  </si>
  <si>
    <t>Jüdische Glaubensgemeinschaften</t>
  </si>
  <si>
    <t>Andere Religionsgemeinschaften</t>
  </si>
  <si>
    <t>Ohne Religionszugehörigkeit</t>
  </si>
  <si>
    <t>Religionszugehörigkeit unbekannt</t>
  </si>
  <si>
    <t>EU und EFTA</t>
  </si>
  <si>
    <t>Sozioprofessionelle Kategorien</t>
  </si>
  <si>
    <t>Ungelernte Angestellte und Arbeiter/innen</t>
  </si>
  <si>
    <t>Nicht zuteilbare Erwerbstätige (fehlende oder unklare Basisdaten)</t>
  </si>
  <si>
    <t>Höchste abgeschlossene Ausbildung</t>
  </si>
  <si>
    <t>Ohne nachobligatorische Ausbildung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</si>
  <si>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</si>
  <si>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</si>
  <si>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</si>
  <si>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</si>
  <si>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</si>
  <si>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</si>
  <si>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</si>
  <si>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</si>
  <si>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</si>
  <si>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</si>
  <si>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</si>
  <si>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</si>
  <si>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</si>
  <si>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</si>
  <si>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</si>
  <si>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Totale</t>
  </si>
  <si>
    <t>&lt;SpaltenTitel_2&gt;</t>
  </si>
  <si>
    <t>Evangelic-refurmà</t>
  </si>
  <si>
    <t>Protestante</t>
  </si>
  <si>
    <t>&lt;SpaltenTitel_3&gt;</t>
  </si>
  <si>
    <t>Catolic-roman</t>
  </si>
  <si>
    <t>Cattolico romano</t>
  </si>
  <si>
    <t>&lt;SpaltenTitel_4&gt;</t>
  </si>
  <si>
    <t>Autras cuminanzas cristianas da cardientscha</t>
  </si>
  <si>
    <t>Altre comunità cristiane</t>
  </si>
  <si>
    <t>&lt;SpaltenTitel_5&gt;</t>
  </si>
  <si>
    <t>Cuminanzas da cardientscha giudaicas</t>
  </si>
  <si>
    <t>Comunità di confessione ebraica</t>
  </si>
  <si>
    <t>&lt;SpaltenTitel_6&gt;</t>
  </si>
  <si>
    <t>&lt;SpaltenTitel_7&gt;</t>
  </si>
  <si>
    <t>Autras cuminanzas religiusas</t>
  </si>
  <si>
    <t>Altre chiese e comunità religiose</t>
  </si>
  <si>
    <t>&lt;SpaltenTitel_8&gt;</t>
  </si>
  <si>
    <t>Senza appartegnientscha religiusa</t>
  </si>
  <si>
    <t>&lt;SpaltenTitel_9&gt;</t>
  </si>
  <si>
    <t>L'appartegnientscha religiusa n'è betg enconuschenta</t>
  </si>
  <si>
    <t>Appartenenza religiosa sconosciuta</t>
  </si>
  <si>
    <t>Anzahl Personen</t>
  </si>
  <si>
    <t>Dumber da persunas</t>
  </si>
  <si>
    <t>Numero di persone</t>
  </si>
  <si>
    <t>Vertrauens- intervall:          ± (in %)</t>
  </si>
  <si>
    <t>Interval da confidenza:          ± (en %)</t>
  </si>
  <si>
    <t>Intervallo di confidenza:          ± (in %)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</si>
  <si>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</si>
  <si>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</si>
  <si>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</si>
  <si>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</si>
  <si>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</si>
  <si>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</si>
  <si>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</si>
  <si>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</si>
  <si>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</si>
  <si>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</si>
  <si>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</si>
  <si>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</si>
  <si>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(): Extrapolaziun sin basa da 49 u damain observaziuns. Ils resultats ston vegnir interpretads cun gronda precauziun.</t>
  </si>
  <si>
    <t>(): Estrapolazione basata su meno di 50 osservazioni. I risultati sono da interpretare con molta precauzione.</t>
  </si>
  <si>
    <t>&lt;Legende_5&gt;</t>
  </si>
  <si>
    <t>X : Estrapolazione basata su meno di 5 osservazioni. I risultati non sono pubblicati per ragioni legate alla protezione dei dati.</t>
  </si>
  <si>
    <t>&lt;Quelle_1&gt;</t>
  </si>
  <si>
    <t>Funtauna: UST (enquista da structura)</t>
  </si>
  <si>
    <t>&lt;Aktualisierung&gt;</t>
  </si>
  <si>
    <t>&lt;SpaltenTitel_1.1&gt;</t>
  </si>
  <si>
    <t>&lt;SpaltenTitel_1.2&gt;</t>
  </si>
  <si>
    <t>&lt;SpaltenTitel_10&gt;</t>
  </si>
  <si>
    <t>L'universo di base della rilevazione strutturale comprende tutte le persone facenti parte della popolazione residente permanente di 15 anni e più che vivono in un'economia domestica.</t>
  </si>
  <si>
    <t>Sono esclusi diplomatici, i funzionari internazionali ed i loro familiari e le persone che vivono in una collettività.</t>
  </si>
  <si>
    <t>X: Extrapolaziun pervia da 4 u damain observaziuns. Per motivs da la protecziun da datas na vegnan ils resultats betg publitgads.</t>
  </si>
  <si>
    <t>La survista da basa da l'enquista da structura cumpiglia tut las persunas da la populaziun residenta permanenta a partir da 15 onns che vivan en chasadas privatas.</t>
  </si>
  <si>
    <t>Exclus da la totalitad fundamentala èn vegnids ultra da las persunas che vivan en chasadas collectivas er diplomats, funcziunaris internaziunals e lur confamigliars.</t>
  </si>
  <si>
    <t>Sesso</t>
  </si>
  <si>
    <t>Età</t>
  </si>
  <si>
    <t>Cittadinanza</t>
  </si>
  <si>
    <t>Passato migratorio</t>
  </si>
  <si>
    <t>Posizione nel mercato del lavoro</t>
  </si>
  <si>
    <t>Categorie socio-professionali</t>
  </si>
  <si>
    <t>Categorias socioprofessiunalas</t>
  </si>
  <si>
    <t>Schlattaina</t>
  </si>
  <si>
    <t>Vegliandrament</t>
  </si>
  <si>
    <t>Naziunalitad</t>
  </si>
  <si>
    <t>Status da migraziun</t>
  </si>
  <si>
    <t>Status dal martgà da lavur</t>
  </si>
  <si>
    <t>Formazione più elevata conclusa</t>
  </si>
  <si>
    <t>La pli auta scolaziun terminada</t>
  </si>
  <si>
    <t>&lt;Zeilentitel_2.1&gt;</t>
  </si>
  <si>
    <t>&lt;Zeilentitel_2.2&gt;</t>
  </si>
  <si>
    <t>&lt;Zeilentitel_3.1&gt;</t>
  </si>
  <si>
    <t>&lt;Zeilentitel_3.2&gt;</t>
  </si>
  <si>
    <t>&lt;Zeilentitel_3.3&gt;</t>
  </si>
  <si>
    <t>&lt;Zeilentitel_3.4&gt;</t>
  </si>
  <si>
    <t>&lt;Zeilentitel_4.1&gt;</t>
  </si>
  <si>
    <t>&lt;Zeilentitel_4.2&gt;</t>
  </si>
  <si>
    <t>&lt;Zeilentitel_4.3&gt;</t>
  </si>
  <si>
    <t>&lt;Zeilentitel_4.4&gt;</t>
  </si>
  <si>
    <t>&lt;Zeilentitel_4.5&gt;</t>
  </si>
  <si>
    <t>&lt;Zeilentitel_5.1&gt;</t>
  </si>
  <si>
    <t>&lt;Zeilentitel_5.2&gt;</t>
  </si>
  <si>
    <t>&lt;Zeilentitel_5.3&gt;</t>
  </si>
  <si>
    <t>&lt;Zeilentitel_5.4&gt;</t>
  </si>
  <si>
    <t>&lt;Zeilentitel_5.5&gt;</t>
  </si>
  <si>
    <t>&lt;Zeilentitel_6.1&gt;</t>
  </si>
  <si>
    <t>&lt;Zeilentitel_6.2&gt;</t>
  </si>
  <si>
    <t>&lt;Zeilentitel_6.3&gt;</t>
  </si>
  <si>
    <t>&lt;Zeilentitel_7.1&gt;</t>
  </si>
  <si>
    <t>&lt;Zeilentitel_7.2&gt;</t>
  </si>
  <si>
    <t>&lt;Zeilentitel_7.3&gt;</t>
  </si>
  <si>
    <t>&lt;Zeilentitel_7.4&gt;</t>
  </si>
  <si>
    <t>&lt;Zeilentitel_7.5&gt;</t>
  </si>
  <si>
    <t>&lt;Zeilentitel_7.6&gt;</t>
  </si>
  <si>
    <t>&lt;Zeilentitel_7.7&gt;</t>
  </si>
  <si>
    <t>&lt;Zeilentitel_7.8&gt;</t>
  </si>
  <si>
    <t>&lt;Zeilentitel_7.9&gt;</t>
  </si>
  <si>
    <t>&lt;Zeilentitel_7.11&gt;</t>
  </si>
  <si>
    <t>&lt;Zeilentitel_8.1&gt;</t>
  </si>
  <si>
    <t>&lt;Zeilentitel_8.2&gt;</t>
  </si>
  <si>
    <t>&lt;Zeilentitel_8.3&gt;</t>
  </si>
  <si>
    <t>65 e dapli</t>
  </si>
  <si>
    <t>Svizra</t>
  </si>
  <si>
    <t>UE ed AECL</t>
  </si>
  <si>
    <t>In auter pajais europeic</t>
  </si>
  <si>
    <t>stadi ordaifer l'Europa</t>
  </si>
  <si>
    <t>naziunalitad n'è betg enconuschenta</t>
  </si>
  <si>
    <t>Svizzers senza retroterra da migraziun</t>
  </si>
  <si>
    <t>Svizzers cun ina migraziun</t>
  </si>
  <si>
    <t>Persunas estras da l'emprima generaziun</t>
  </si>
  <si>
    <t>Persunas estras da la segunda generaziun e da l'emprima</t>
  </si>
  <si>
    <t>La migraziun n'è betg enconuschenta</t>
  </si>
  <si>
    <t>Professiuns libras ed egualas</t>
  </si>
  <si>
    <t>Autras persunas independentas</t>
  </si>
  <si>
    <t>Professiuns academicas e cader superiur</t>
  </si>
  <si>
    <t>Professiuns betg manualas qualifitgadas</t>
  </si>
  <si>
    <t>Professiuns manualas qualifitgadas</t>
  </si>
  <si>
    <t>Emploiadas e lavurants betg emprendids</t>
  </si>
  <si>
    <t>Emprendistas ed emprendists en ina furmaziun fundamentala professiunala dubla (emprendists)</t>
  </si>
  <si>
    <t>Persunas cun activitad da gudogn che na pon betg vegnir attribuidas (datas da basa mancantas u betg cleras)</t>
  </si>
  <si>
    <t>Senza scolaziun postobligatorica</t>
  </si>
  <si>
    <t>Uomini</t>
  </si>
  <si>
    <t>Donne</t>
  </si>
  <si>
    <t>65 e più</t>
  </si>
  <si>
    <t>Svizzera</t>
  </si>
  <si>
    <t>UE e AELS</t>
  </si>
  <si>
    <t>Altro paese europeo</t>
  </si>
  <si>
    <t>Paese extraeuropeo</t>
  </si>
  <si>
    <t>Cittadinanza sconosciuta</t>
  </si>
  <si>
    <t>Svizzeri/e senza un passato migratorio</t>
  </si>
  <si>
    <t>Svizzeri/e con un passato migratorio</t>
  </si>
  <si>
    <t>Stranieri/e di prima generazione</t>
  </si>
  <si>
    <t>Stranieri/e di seconda generazione e più</t>
  </si>
  <si>
    <t>Passato migratorio sconosciuto</t>
  </si>
  <si>
    <t>Occupati</t>
  </si>
  <si>
    <t>Disoccupati</t>
  </si>
  <si>
    <t>Persone senza attività professionale</t>
  </si>
  <si>
    <t>Management superiore</t>
  </si>
  <si>
    <t>Professioni liberali ed equiparate</t>
  </si>
  <si>
    <t>Altri indipendenti</t>
  </si>
  <si>
    <t>Professioni accademiche e quadri superiori</t>
  </si>
  <si>
    <t>Professioni intermediarie</t>
  </si>
  <si>
    <t>Professioni qualificate non manuali</t>
  </si>
  <si>
    <t>Professioni qualificate manuali</t>
  </si>
  <si>
    <t>Impiegati e operai non qualificati</t>
  </si>
  <si>
    <t>Persone in formazione professionale di base duale (apprendisti)</t>
  </si>
  <si>
    <t>Occupati non attribuibili (dati di base mancanti)</t>
  </si>
  <si>
    <t>Disoccupati e persone senza attività professionale</t>
  </si>
  <si>
    <t>Senza formazione postobbligatoria</t>
  </si>
  <si>
    <t>Livello secondario II</t>
  </si>
  <si>
    <t>Livello terziario</t>
  </si>
  <si>
    <t>Cattolico cristiano (vecchio-cattolico)</t>
  </si>
  <si>
    <t>Nessuna appartenenza religiosa</t>
  </si>
  <si>
    <t>Cristian-catolic (vegl catolic)</t>
  </si>
  <si>
    <t>Umens</t>
  </si>
  <si>
    <t>Dunnas</t>
  </si>
  <si>
    <t>Persunas cun activitad da gudogn</t>
  </si>
  <si>
    <t>Persunas senza activitad da gudogn</t>
  </si>
  <si>
    <t>Management suprem</t>
  </si>
  <si>
    <t>Professiuns intermediaras</t>
  </si>
  <si>
    <t>Persunas senza activitad da gudogn e persunas senza activitad da gudogn</t>
  </si>
  <si>
    <t>Stgalim secundar II</t>
  </si>
  <si>
    <t>Stgalim terziar</t>
  </si>
  <si>
    <t>Fonte: UST (Rilevazione strutturale)</t>
  </si>
  <si>
    <r>
      <t>Religionszugehörigkeit</t>
    </r>
    <r>
      <rPr>
        <sz val="9"/>
        <rFont val="Arial"/>
        <family val="2"/>
      </rPr>
      <t xml:space="preserve"> im Kanton Graubünden</t>
    </r>
  </si>
  <si>
    <t>Appartegnientscha religiusa en il chantun Grischun</t>
  </si>
  <si>
    <t>Appartenenza religiosa nel Cantone dei Grigioni</t>
  </si>
  <si>
    <t>&lt;Zeilentitel_7.10&gt;</t>
  </si>
  <si>
    <t>* inkl. andere aus dem Islam hervorgegangene Gemeinschaften</t>
  </si>
  <si>
    <t>* incl. autras cuminanzas che derivan da l'islam</t>
  </si>
  <si>
    <t>* incl. le altre comunità derivate dall’islam</t>
  </si>
  <si>
    <t>Cuminanzas da cardientscha islamicas*</t>
  </si>
  <si>
    <t>Comunità islamiche*</t>
  </si>
  <si>
    <t>Islamische Glaubensgem.*</t>
  </si>
  <si>
    <t>Letztmals aktualisiert am: 29.01.2026</t>
  </si>
  <si>
    <t>Ultima actualisaziun: 29.01.2026</t>
  </si>
  <si>
    <t>Ulimo aggiornamento: 29.01.2026</t>
  </si>
  <si>
    <t>X</t>
  </si>
  <si>
    <t>Ständige Wohnbevölkerung ab 15 Jahren</t>
  </si>
  <si>
    <t>Populaziun residenta permanenta a partir da 15 onns</t>
  </si>
  <si>
    <t>Popolazione residente permanente di 15 anni e più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</si>
</sst>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_ ;\-#,##0\ "/>
    <numFmt numFmtId="167" formatCode="0.0"/>
    <numFmt numFmtId="168" formatCode="\(0.0\)"/>
    <numFmt numFmtId="169" formatCode="_-* #,##0.00\ _€_-;\-* #,##0.00\ _€_-;_-* &quot;-&quot;??\ _€_-;_-@_-"/>
    <numFmt numFmtId="170" formatCode="* #,###"/>
    <numFmt numFmtId="171" formatCode="\(#\'##0\)"/>
    <numFmt numFmtId="172" formatCode="\(##0\)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3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2" borderId="0" xfId="3" applyFont="1" applyFill="1" applyAlignment="1">
      <alignment horizontal="left" vertical="top"/>
    </xf>
    <xf numFmtId="164" fontId="7" fillId="2" borderId="0" xfId="4" applyNumberFormat="1" applyFont="1" applyFill="1" applyBorder="1" applyAlignment="1" applyProtection="1">
      <alignment horizontal="left" vertical="top"/>
    </xf>
    <xf numFmtId="0" fontId="8" fillId="2" borderId="0" xfId="3" applyFont="1" applyFill="1" applyAlignment="1">
      <alignment horizontal="right" vertical="center"/>
    </xf>
    <xf numFmtId="0" fontId="2" fillId="2" borderId="0" xfId="0" applyFont="1" applyFill="1"/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vertical="top" wrapText="1"/>
    </xf>
    <xf numFmtId="3" fontId="3" fillId="2" borderId="0" xfId="1" applyNumberFormat="1" applyFont="1" applyFill="1" applyBorder="1" applyAlignment="1" applyProtection="1">
      <alignment horizontal="right" wrapText="1"/>
    </xf>
    <xf numFmtId="165" fontId="3" fillId="2" borderId="0" xfId="2" applyNumberFormat="1" applyFont="1" applyFill="1" applyBorder="1" applyAlignment="1" applyProtection="1">
      <alignment horizontal="right" wrapText="1"/>
    </xf>
    <xf numFmtId="166" fontId="3" fillId="2" borderId="0" xfId="1" applyNumberFormat="1" applyFont="1" applyFill="1" applyBorder="1" applyAlignment="1" applyProtection="1">
      <alignment horizontal="right" wrapText="1"/>
    </xf>
    <xf numFmtId="165" fontId="3" fillId="2" borderId="0" xfId="1" applyNumberFormat="1" applyFont="1" applyFill="1" applyBorder="1" applyAlignment="1" applyProtection="1">
      <alignment horizontal="right" wrapText="1"/>
    </xf>
    <xf numFmtId="0" fontId="10" fillId="4" borderId="0" xfId="0" applyFont="1" applyFill="1" applyAlignment="1">
      <alignment horizontal="left" vertical="top"/>
    </xf>
    <xf numFmtId="0" fontId="9" fillId="2" borderId="3" xfId="0" applyFont="1" applyFill="1" applyBorder="1" applyAlignment="1">
      <alignment vertical="top" wrapText="1"/>
    </xf>
    <xf numFmtId="0" fontId="9" fillId="2" borderId="5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/>
    </xf>
    <xf numFmtId="0" fontId="10" fillId="4" borderId="0" xfId="0" applyFont="1" applyFill="1" applyAlignment="1">
      <alignment vertical="top"/>
    </xf>
    <xf numFmtId="0" fontId="10" fillId="4" borderId="7" xfId="0" applyFont="1" applyFill="1" applyBorder="1" applyAlignment="1">
      <alignment vertical="top" wrapText="1"/>
    </xf>
    <xf numFmtId="0" fontId="10" fillId="4" borderId="2" xfId="0" applyFont="1" applyFill="1" applyBorder="1" applyAlignment="1">
      <alignment vertical="top"/>
    </xf>
    <xf numFmtId="0" fontId="6" fillId="4" borderId="0" xfId="0" applyFont="1" applyFill="1" applyAlignment="1">
      <alignment horizontal="left" vertical="top"/>
    </xf>
    <xf numFmtId="0" fontId="10" fillId="4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2" fillId="5" borderId="0" xfId="0" applyFont="1" applyFill="1" applyBorder="1" applyAlignment="1">
      <alignment horizontal="left" vertical="top"/>
    </xf>
    <xf numFmtId="0" fontId="12" fillId="5" borderId="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3" fillId="6" borderId="0" xfId="0" applyFont="1" applyFill="1" applyBorder="1" applyAlignment="1">
      <alignment horizontal="left" vertical="top"/>
    </xf>
    <xf numFmtId="0" fontId="1" fillId="6" borderId="0" xfId="0" applyFont="1" applyFill="1" applyBorder="1" applyAlignment="1" applyProtection="1">
      <alignment horizontal="left" vertical="top"/>
      <protection locked="0"/>
    </xf>
    <xf numFmtId="0" fontId="1" fillId="6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7" borderId="0" xfId="0" applyFill="1" applyBorder="1" applyAlignment="1">
      <alignment horizontal="left" vertical="top"/>
    </xf>
    <xf numFmtId="0" fontId="0" fillId="7" borderId="0" xfId="0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10" fillId="2" borderId="12" xfId="1" applyNumberFormat="1" applyFont="1" applyFill="1" applyBorder="1" applyAlignment="1" applyProtection="1">
      <alignment horizontal="right" vertical="top" wrapText="1"/>
    </xf>
    <xf numFmtId="0" fontId="10" fillId="2" borderId="13" xfId="2" applyNumberFormat="1" applyFont="1" applyFill="1" applyBorder="1" applyAlignment="1" applyProtection="1">
      <alignment horizontal="right" vertical="top" wrapText="1"/>
    </xf>
    <xf numFmtId="0" fontId="10" fillId="2" borderId="15" xfId="1" applyNumberFormat="1" applyFont="1" applyFill="1" applyBorder="1" applyAlignment="1" applyProtection="1">
      <alignment horizontal="right" vertical="top" wrapText="1"/>
    </xf>
    <xf numFmtId="0" fontId="10" fillId="2" borderId="9" xfId="2" applyNumberFormat="1" applyFont="1" applyFill="1" applyBorder="1" applyAlignment="1" applyProtection="1">
      <alignment horizontal="right" vertical="top" wrapText="1"/>
    </xf>
    <xf numFmtId="0" fontId="10" fillId="2" borderId="8" xfId="1" applyNumberFormat="1" applyFont="1" applyFill="1" applyBorder="1" applyAlignment="1" applyProtection="1">
      <alignment horizontal="right" vertical="top" wrapText="1"/>
    </xf>
    <xf numFmtId="0" fontId="10" fillId="2" borderId="11" xfId="2" applyNumberFormat="1" applyFont="1" applyFill="1" applyBorder="1" applyAlignment="1" applyProtection="1">
      <alignment horizontal="right" vertical="top" wrapText="1"/>
    </xf>
    <xf numFmtId="170" fontId="15" fillId="2" borderId="16" xfId="6" applyNumberFormat="1" applyFont="1" applyFill="1" applyBorder="1" applyAlignment="1" applyProtection="1">
      <alignment horizontal="right" vertical="center" wrapText="1"/>
    </xf>
    <xf numFmtId="167" fontId="15" fillId="2" borderId="28" xfId="6" applyNumberFormat="1" applyFont="1" applyFill="1" applyBorder="1" applyAlignment="1" applyProtection="1">
      <alignment horizontal="right" vertical="center" wrapText="1"/>
    </xf>
    <xf numFmtId="170" fontId="15" fillId="2" borderId="29" xfId="1" applyNumberFormat="1" applyFont="1" applyFill="1" applyBorder="1" applyAlignment="1" applyProtection="1">
      <alignment horizontal="right" vertical="center" wrapText="1"/>
    </xf>
    <xf numFmtId="167" fontId="15" fillId="2" borderId="7" xfId="1" applyNumberFormat="1" applyFont="1" applyFill="1" applyBorder="1" applyAlignment="1" applyProtection="1">
      <alignment horizontal="right" vertical="center" wrapText="1"/>
    </xf>
    <xf numFmtId="170" fontId="15" fillId="2" borderId="29" xfId="6" applyNumberFormat="1" applyFont="1" applyFill="1" applyBorder="1" applyAlignment="1" applyProtection="1">
      <alignment horizontal="right" vertical="center" wrapText="1"/>
    </xf>
    <xf numFmtId="170" fontId="15" fillId="2" borderId="7" xfId="6" applyNumberFormat="1" applyFont="1" applyFill="1" applyBorder="1" applyAlignment="1" applyProtection="1">
      <alignment horizontal="right" vertical="center" wrapText="1"/>
    </xf>
    <xf numFmtId="167" fontId="15" fillId="2" borderId="7" xfId="6" applyNumberFormat="1" applyFont="1" applyFill="1" applyBorder="1" applyAlignment="1" applyProtection="1">
      <alignment horizontal="right" vertical="center" wrapText="1"/>
    </xf>
    <xf numFmtId="171" fontId="15" fillId="2" borderId="29" xfId="6" applyNumberFormat="1" applyFont="1" applyFill="1" applyBorder="1" applyAlignment="1" applyProtection="1">
      <alignment horizontal="right" vertical="center" wrapText="1"/>
    </xf>
    <xf numFmtId="168" fontId="15" fillId="2" borderId="7" xfId="6" applyNumberFormat="1" applyFont="1" applyFill="1" applyBorder="1" applyAlignment="1" applyProtection="1">
      <alignment horizontal="right" vertical="center" wrapText="1"/>
    </xf>
    <xf numFmtId="168" fontId="15" fillId="2" borderId="32" xfId="6" applyNumberFormat="1" applyFont="1" applyFill="1" applyBorder="1" applyAlignment="1" applyProtection="1">
      <alignment horizontal="right" vertical="center" wrapText="1"/>
    </xf>
    <xf numFmtId="3" fontId="3" fillId="2" borderId="16" xfId="6" applyNumberFormat="1" applyFont="1" applyFill="1" applyBorder="1" applyAlignment="1" applyProtection="1">
      <alignment horizontal="right" vertical="center" wrapText="1"/>
    </xf>
    <xf numFmtId="167" fontId="3" fillId="2" borderId="28" xfId="6" applyNumberFormat="1" applyFont="1" applyFill="1" applyBorder="1" applyAlignment="1" applyProtection="1">
      <alignment horizontal="right" vertical="center" wrapText="1"/>
    </xf>
    <xf numFmtId="3" fontId="3" fillId="2" borderId="29" xfId="1" applyNumberFormat="1" applyFont="1" applyFill="1" applyBorder="1" applyAlignment="1" applyProtection="1">
      <alignment horizontal="right" vertical="center" wrapText="1"/>
    </xf>
    <xf numFmtId="167" fontId="3" fillId="2" borderId="7" xfId="1" applyNumberFormat="1" applyFont="1" applyFill="1" applyBorder="1" applyAlignment="1" applyProtection="1">
      <alignment horizontal="right" vertical="center" wrapText="1"/>
    </xf>
    <xf numFmtId="3" fontId="3" fillId="2" borderId="29" xfId="6" applyNumberFormat="1" applyFont="1" applyFill="1" applyBorder="1" applyAlignment="1" applyProtection="1">
      <alignment horizontal="right" vertical="center" wrapText="1"/>
    </xf>
    <xf numFmtId="3" fontId="3" fillId="2" borderId="7" xfId="6" applyNumberFormat="1" applyFont="1" applyFill="1" applyBorder="1" applyAlignment="1" applyProtection="1">
      <alignment horizontal="right" vertical="center" wrapText="1"/>
    </xf>
    <xf numFmtId="167" fontId="3" fillId="2" borderId="7" xfId="6" applyNumberFormat="1" applyFont="1" applyFill="1" applyBorder="1" applyAlignment="1" applyProtection="1">
      <alignment horizontal="right" vertical="center" wrapText="1"/>
    </xf>
    <xf numFmtId="172" fontId="3" fillId="2" borderId="29" xfId="6" applyNumberFormat="1" applyFont="1" applyFill="1" applyBorder="1" applyAlignment="1" applyProtection="1">
      <alignment horizontal="right" vertical="center" wrapText="1"/>
    </xf>
    <xf numFmtId="168" fontId="3" fillId="2" borderId="7" xfId="6" applyNumberFormat="1" applyFont="1" applyFill="1" applyBorder="1" applyAlignment="1" applyProtection="1">
      <alignment horizontal="right" vertical="center" wrapText="1"/>
    </xf>
    <xf numFmtId="168" fontId="3" fillId="2" borderId="32" xfId="6" applyNumberFormat="1" applyFont="1" applyFill="1" applyBorder="1" applyAlignment="1" applyProtection="1">
      <alignment horizontal="right" vertical="center" wrapText="1"/>
    </xf>
    <xf numFmtId="3" fontId="3" fillId="2" borderId="27" xfId="6" applyNumberFormat="1" applyFont="1" applyFill="1" applyBorder="1" applyAlignment="1" applyProtection="1">
      <alignment horizontal="right" vertical="center" wrapText="1"/>
    </xf>
    <xf numFmtId="167" fontId="3" fillId="2" borderId="30" xfId="6" applyNumberFormat="1" applyFont="1" applyFill="1" applyBorder="1" applyAlignment="1" applyProtection="1">
      <alignment horizontal="right" vertical="center" wrapText="1"/>
    </xf>
    <xf numFmtId="3" fontId="3" fillId="2" borderId="14" xfId="1" applyNumberFormat="1" applyFont="1" applyFill="1" applyBorder="1" applyAlignment="1" applyProtection="1">
      <alignment horizontal="right" vertical="center" wrapText="1"/>
    </xf>
    <xf numFmtId="167" fontId="3" fillId="2" borderId="1" xfId="1" applyNumberFormat="1" applyFont="1" applyFill="1" applyBorder="1" applyAlignment="1" applyProtection="1">
      <alignment horizontal="right" vertical="center" wrapText="1"/>
    </xf>
    <xf numFmtId="3" fontId="3" fillId="2" borderId="14" xfId="6" applyNumberFormat="1" applyFont="1" applyFill="1" applyBorder="1" applyAlignment="1" applyProtection="1">
      <alignment horizontal="right" vertical="center" wrapText="1"/>
    </xf>
    <xf numFmtId="3" fontId="3" fillId="2" borderId="1" xfId="6" applyNumberFormat="1" applyFont="1" applyFill="1" applyBorder="1" applyAlignment="1" applyProtection="1">
      <alignment horizontal="right" vertical="center" wrapText="1"/>
    </xf>
    <xf numFmtId="167" fontId="3" fillId="2" borderId="1" xfId="6" applyNumberFormat="1" applyFont="1" applyFill="1" applyBorder="1" applyAlignment="1" applyProtection="1">
      <alignment horizontal="right" vertical="center" wrapText="1"/>
    </xf>
    <xf numFmtId="171" fontId="3" fillId="2" borderId="1" xfId="6" applyNumberFormat="1" applyFont="1" applyFill="1" applyBorder="1" applyAlignment="1" applyProtection="1">
      <alignment horizontal="right" vertical="center" wrapText="1"/>
    </xf>
    <xf numFmtId="168" fontId="3" fillId="2" borderId="30" xfId="6" applyNumberFormat="1" applyFont="1" applyFill="1" applyBorder="1" applyAlignment="1" applyProtection="1">
      <alignment horizontal="right" vertical="center" wrapText="1"/>
    </xf>
    <xf numFmtId="172" fontId="3" fillId="2" borderId="14" xfId="6" applyNumberFormat="1" applyFont="1" applyFill="1" applyBorder="1" applyAlignment="1" applyProtection="1">
      <alignment horizontal="right" vertical="center" wrapText="1"/>
    </xf>
    <xf numFmtId="168" fontId="3" fillId="2" borderId="1" xfId="6" applyNumberFormat="1" applyFont="1" applyFill="1" applyBorder="1" applyAlignment="1" applyProtection="1">
      <alignment horizontal="right" vertical="center" wrapText="1"/>
    </xf>
    <xf numFmtId="168" fontId="3" fillId="2" borderId="33" xfId="6" applyNumberFormat="1" applyFont="1" applyFill="1" applyBorder="1" applyAlignment="1" applyProtection="1">
      <alignment horizontal="right" vertical="center" wrapText="1"/>
    </xf>
    <xf numFmtId="3" fontId="3" fillId="2" borderId="17" xfId="6" applyNumberFormat="1" applyFont="1" applyFill="1" applyBorder="1" applyAlignment="1" applyProtection="1">
      <alignment horizontal="right" vertical="center" wrapText="1"/>
    </xf>
    <xf numFmtId="167" fontId="3" fillId="2" borderId="9" xfId="6" applyNumberFormat="1" applyFont="1" applyFill="1" applyBorder="1" applyAlignment="1" applyProtection="1">
      <alignment horizontal="right" vertical="center" wrapText="1"/>
    </xf>
    <xf numFmtId="3" fontId="3" fillId="2" borderId="8" xfId="1" applyNumberFormat="1" applyFont="1" applyFill="1" applyBorder="1" applyAlignment="1" applyProtection="1">
      <alignment horizontal="right" vertical="center" wrapText="1"/>
    </xf>
    <xf numFmtId="167" fontId="3" fillId="2" borderId="0" xfId="1" applyNumberFormat="1" applyFont="1" applyFill="1" applyBorder="1" applyAlignment="1" applyProtection="1">
      <alignment horizontal="right" vertical="center" wrapText="1"/>
    </xf>
    <xf numFmtId="3" fontId="3" fillId="2" borderId="8" xfId="6" applyNumberFormat="1" applyFont="1" applyFill="1" applyBorder="1" applyAlignment="1" applyProtection="1">
      <alignment horizontal="right" vertical="center" wrapText="1"/>
    </xf>
    <xf numFmtId="3" fontId="3" fillId="2" borderId="0" xfId="6" applyNumberFormat="1" applyFont="1" applyFill="1" applyBorder="1" applyAlignment="1" applyProtection="1">
      <alignment horizontal="right" vertical="center" wrapText="1"/>
    </xf>
    <xf numFmtId="172" fontId="3" fillId="2" borderId="8" xfId="6" applyNumberFormat="1" applyFont="1" applyFill="1" applyBorder="1" applyAlignment="1" applyProtection="1">
      <alignment horizontal="right" vertical="center" wrapText="1"/>
    </xf>
    <xf numFmtId="168" fontId="3" fillId="2" borderId="0" xfId="6" applyNumberFormat="1" applyFont="1" applyFill="1" applyBorder="1" applyAlignment="1" applyProtection="1">
      <alignment horizontal="right" vertical="center" wrapText="1"/>
    </xf>
    <xf numFmtId="172" fontId="3" fillId="2" borderId="0" xfId="6" applyNumberFormat="1" applyFont="1" applyFill="1" applyBorder="1" applyAlignment="1" applyProtection="1">
      <alignment horizontal="right" vertical="center" wrapText="1"/>
    </xf>
    <xf numFmtId="168" fontId="3" fillId="2" borderId="9" xfId="6" applyNumberFormat="1" applyFont="1" applyFill="1" applyBorder="1" applyAlignment="1" applyProtection="1">
      <alignment horizontal="right" vertical="center" wrapText="1"/>
    </xf>
    <xf numFmtId="167" fontId="3" fillId="2" borderId="11" xfId="6" applyNumberFormat="1" applyFont="1" applyFill="1" applyBorder="1" applyAlignment="1" applyProtection="1">
      <alignment horizontal="right" vertical="center" wrapText="1"/>
    </xf>
    <xf numFmtId="167" fontId="3" fillId="2" borderId="0" xfId="6" applyNumberFormat="1" applyFont="1" applyFill="1" applyBorder="1" applyAlignment="1" applyProtection="1">
      <alignment horizontal="right" vertical="center" wrapText="1"/>
    </xf>
    <xf numFmtId="171" fontId="3" fillId="2" borderId="0" xfId="6" applyNumberFormat="1" applyFont="1" applyFill="1" applyBorder="1" applyAlignment="1" applyProtection="1">
      <alignment horizontal="right" vertical="center" wrapText="1"/>
    </xf>
    <xf numFmtId="168" fontId="3" fillId="2" borderId="11" xfId="6" applyNumberFormat="1" applyFont="1" applyFill="1" applyBorder="1" applyAlignment="1" applyProtection="1">
      <alignment horizontal="right" vertical="center" wrapText="1"/>
    </xf>
    <xf numFmtId="171" fontId="3" fillId="2" borderId="8" xfId="6" applyNumberFormat="1" applyFont="1" applyFill="1" applyBorder="1" applyAlignment="1" applyProtection="1">
      <alignment horizontal="right" vertical="center" wrapText="1"/>
    </xf>
    <xf numFmtId="171" fontId="3" fillId="2" borderId="7" xfId="6" applyNumberFormat="1" applyFont="1" applyFill="1" applyBorder="1" applyAlignment="1" applyProtection="1">
      <alignment horizontal="right" vertical="center" wrapText="1"/>
    </xf>
    <xf numFmtId="168" fontId="3" fillId="2" borderId="28" xfId="6" applyNumberFormat="1" applyFont="1" applyFill="1" applyBorder="1" applyAlignment="1" applyProtection="1">
      <alignment horizontal="right" vertical="center" wrapText="1"/>
    </xf>
    <xf numFmtId="171" fontId="3" fillId="2" borderId="8" xfId="1" applyNumberFormat="1" applyFont="1" applyFill="1" applyBorder="1" applyAlignment="1" applyProtection="1">
      <alignment horizontal="right" vertical="center" wrapText="1"/>
    </xf>
    <xf numFmtId="168" fontId="3" fillId="2" borderId="0" xfId="1" applyNumberFormat="1" applyFont="1" applyFill="1" applyBorder="1" applyAlignment="1" applyProtection="1">
      <alignment horizontal="right" vertical="center" wrapText="1"/>
    </xf>
    <xf numFmtId="167" fontId="3" fillId="2" borderId="33" xfId="6" applyNumberFormat="1" applyFont="1" applyFill="1" applyBorder="1" applyAlignment="1" applyProtection="1">
      <alignment horizontal="right" vertical="center" wrapText="1"/>
    </xf>
    <xf numFmtId="171" fontId="3" fillId="2" borderId="17" xfId="6" applyNumberFormat="1" applyFont="1" applyFill="1" applyBorder="1" applyAlignment="1" applyProtection="1">
      <alignment horizontal="right" vertical="center" wrapText="1"/>
    </xf>
    <xf numFmtId="172" fontId="3" fillId="2" borderId="17" xfId="6" applyNumberFormat="1" applyFont="1" applyFill="1" applyBorder="1" applyAlignment="1" applyProtection="1">
      <alignment horizontal="right" vertical="center" wrapText="1"/>
    </xf>
    <xf numFmtId="172" fontId="3" fillId="2" borderId="8" xfId="1" applyNumberFormat="1" applyFont="1" applyFill="1" applyBorder="1" applyAlignment="1" applyProtection="1">
      <alignment horizontal="right" vertical="center" wrapText="1"/>
    </xf>
    <xf numFmtId="3" fontId="3" fillId="2" borderId="18" xfId="6" applyNumberFormat="1" applyFont="1" applyFill="1" applyBorder="1" applyAlignment="1" applyProtection="1">
      <alignment horizontal="right" vertical="center" wrapText="1"/>
    </xf>
    <xf numFmtId="167" fontId="3" fillId="2" borderId="31" xfId="6" applyNumberFormat="1" applyFont="1" applyFill="1" applyBorder="1" applyAlignment="1" applyProtection="1">
      <alignment horizontal="right" vertical="center" wrapText="1"/>
    </xf>
    <xf numFmtId="3" fontId="3" fillId="2" borderId="10" xfId="1" applyNumberFormat="1" applyFont="1" applyFill="1" applyBorder="1" applyAlignment="1" applyProtection="1">
      <alignment horizontal="right" vertical="center" wrapText="1"/>
    </xf>
    <xf numFmtId="167" fontId="3" fillId="2" borderId="2" xfId="1" applyNumberFormat="1" applyFont="1" applyFill="1" applyBorder="1" applyAlignment="1" applyProtection="1">
      <alignment horizontal="right" vertical="center" wrapText="1"/>
    </xf>
    <xf numFmtId="3" fontId="3" fillId="2" borderId="10" xfId="6" applyNumberFormat="1" applyFont="1" applyFill="1" applyBorder="1" applyAlignment="1" applyProtection="1">
      <alignment horizontal="right" vertical="center" wrapText="1"/>
    </xf>
    <xf numFmtId="3" fontId="3" fillId="2" borderId="2" xfId="6" applyNumberFormat="1" applyFont="1" applyFill="1" applyBorder="1" applyAlignment="1" applyProtection="1">
      <alignment horizontal="right" vertical="center" wrapText="1"/>
    </xf>
    <xf numFmtId="167" fontId="3" fillId="2" borderId="2" xfId="6" applyNumberFormat="1" applyFont="1" applyFill="1" applyBorder="1" applyAlignment="1" applyProtection="1">
      <alignment horizontal="right" vertical="center" wrapText="1"/>
    </xf>
    <xf numFmtId="172" fontId="3" fillId="2" borderId="2" xfId="6" applyNumberFormat="1" applyFont="1" applyFill="1" applyBorder="1" applyAlignment="1" applyProtection="1">
      <alignment horizontal="right" vertical="center" wrapText="1"/>
    </xf>
    <xf numFmtId="168" fontId="3" fillId="2" borderId="31" xfId="6" applyNumberFormat="1" applyFont="1" applyFill="1" applyBorder="1" applyAlignment="1" applyProtection="1">
      <alignment horizontal="right" vertical="center" wrapText="1"/>
    </xf>
    <xf numFmtId="172" fontId="3" fillId="2" borderId="10" xfId="6" applyNumberFormat="1" applyFont="1" applyFill="1" applyBorder="1" applyAlignment="1" applyProtection="1">
      <alignment horizontal="right" vertical="center" wrapText="1"/>
    </xf>
    <xf numFmtId="168" fontId="3" fillId="2" borderId="2" xfId="6" applyNumberFormat="1" applyFont="1" applyFill="1" applyBorder="1" applyAlignment="1" applyProtection="1">
      <alignment horizontal="right" vertical="center" wrapText="1"/>
    </xf>
    <xf numFmtId="168" fontId="3" fillId="2" borderId="34" xfId="6" applyNumberFormat="1" applyFont="1" applyFill="1" applyBorder="1" applyAlignment="1" applyProtection="1">
      <alignment horizontal="right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</cellXfs>
  <cellStyles count="7">
    <cellStyle name="Komma" xfId="1" builtinId="3"/>
    <cellStyle name="Komma 2" xfId="4" xr:uid="{00000000-0005-0000-0000-000001000000}"/>
    <cellStyle name="Komma 3" xfId="6" xr:uid="{00000000-0005-0000-0000-000002000000}"/>
    <cellStyle name="Prozent" xfId="2" builtinId="5"/>
    <cellStyle name="Prozent 2" xfId="5" xr:uid="{00000000-0005-0000-0000-000004000000}"/>
    <cellStyle name="Standard" xfId="0" builtinId="0"/>
    <cellStyle name="Standard 2" xfId="3" xr:uid="{00000000-0005-0000-0000-000006000000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0</xdr:row>
      <xdr:rowOff>9525</xdr:rowOff>
    </xdr:from>
    <xdr:to>
      <xdr:col>6</xdr:col>
      <xdr:colOff>181589</xdr:colOff>
      <xdr:row>4</xdr:row>
      <xdr:rowOff>135998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000625" y="9525"/>
          <a:ext cx="24961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0" cy="533405"/>
                <a:chOff x="6553200" y="374273"/>
                <a:chExt cx="1200150" cy="533405"/>
              </a:xfrm>
              <a:grpFill/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0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549275</xdr:colOff>
      <xdr:row>5</xdr:row>
      <xdr:rowOff>4202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"/>
  <sheetViews>
    <sheetView tabSelected="1" workbookViewId="0"/>
  </sheetViews>
  <sheetFormatPr baseColWidth="10" defaultRowHeight="12.75" x14ac:dyDescent="0.2"/>
  <cols>
    <col min="1" max="1" width="19.85546875" style="1" customWidth="1"/>
    <col min="2" max="2" width="46.42578125" style="1" customWidth="1"/>
    <col min="3" max="3" width="9.5703125" style="1" bestFit="1" customWidth="1"/>
    <col min="4" max="4" width="11.5703125" style="1" customWidth="1"/>
    <col min="5" max="5" width="10.42578125" style="1" bestFit="1" customWidth="1"/>
    <col min="6" max="6" width="11.85546875" style="1" bestFit="1" customWidth="1"/>
    <col min="7" max="7" width="10.42578125" style="1" bestFit="1" customWidth="1"/>
    <col min="8" max="8" width="11.85546875" style="1" bestFit="1" customWidth="1"/>
    <col min="9" max="9" width="10.42578125" style="1" bestFit="1" customWidth="1"/>
    <col min="10" max="10" width="11.85546875" style="1" bestFit="1" customWidth="1"/>
    <col min="11" max="11" width="10.42578125" style="1" bestFit="1" customWidth="1"/>
    <col min="12" max="12" width="14" style="1" customWidth="1"/>
    <col min="13" max="14" width="13.42578125" style="1" customWidth="1"/>
    <col min="15" max="15" width="10.42578125" style="1" bestFit="1" customWidth="1"/>
    <col min="16" max="16" width="13.5703125" style="1" customWidth="1"/>
    <col min="17" max="17" width="10.42578125" style="1" bestFit="1" customWidth="1"/>
    <col min="18" max="18" width="13.140625" style="1" customWidth="1"/>
    <col min="19" max="19" width="10.42578125" style="1" bestFit="1" customWidth="1"/>
    <col min="20" max="20" width="11.85546875" style="1" bestFit="1" customWidth="1"/>
    <col min="21" max="21" width="10.42578125" style="1" bestFit="1" customWidth="1"/>
    <col min="22" max="22" width="11.85546875" style="1" bestFit="1" customWidth="1"/>
    <col min="23" max="16384" width="11.42578125" style="1"/>
  </cols>
  <sheetData>
    <row r="1" spans="1:22" s="2" customFormat="1" x14ac:dyDescent="0.2"/>
    <row r="2" spans="1:22" s="2" customFormat="1" ht="15.75" x14ac:dyDescent="0.25">
      <c r="B2" s="3"/>
      <c r="C2" s="1"/>
      <c r="D2" s="1"/>
    </row>
    <row r="3" spans="1:22" s="2" customFormat="1" ht="15.75" x14ac:dyDescent="0.25">
      <c r="B3" s="3"/>
      <c r="C3" s="1"/>
      <c r="D3" s="1"/>
    </row>
    <row r="4" spans="1:22" s="2" customFormat="1" ht="15.75" x14ac:dyDescent="0.25">
      <c r="B4" s="3"/>
      <c r="C4" s="1"/>
      <c r="D4" s="1"/>
    </row>
    <row r="5" spans="1:22" s="2" customFormat="1" x14ac:dyDescent="0.2"/>
    <row r="6" spans="1:22" s="2" customFormat="1" x14ac:dyDescent="0.2"/>
    <row r="7" spans="1:22" s="2" customFormat="1" ht="15.75" customHeight="1" x14ac:dyDescent="0.2">
      <c r="A7" s="120" t="str">
        <f>VLOOKUP("&lt;Fachbereich&gt;",Uebersetzungen!$B$3:$E$213,Uebersetzungen!$B$2+1,FALSE)</f>
        <v>Daten &amp; Statistik</v>
      </c>
      <c r="B7" s="120"/>
      <c r="C7" s="4"/>
      <c r="D7" s="4"/>
      <c r="E7" s="4"/>
      <c r="F7" s="4"/>
      <c r="G7" s="4"/>
      <c r="H7" s="4"/>
    </row>
    <row r="8" spans="1:22" s="2" customFormat="1" x14ac:dyDescent="0.2"/>
    <row r="9" spans="1:22" s="8" customFormat="1" ht="18" x14ac:dyDescent="0.2">
      <c r="A9" s="24" t="str">
        <f>VLOOKUP("&lt;Titel&gt;",Uebersetzungen!$B$3:$E$213,Uebersetzungen!$B$2+1,FALSE)</f>
        <v>Religionszugehörigkeit im Kanton Graubünden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22" s="8" customFormat="1" ht="15" x14ac:dyDescent="0.2">
      <c r="A10" s="25" t="str">
        <f>VLOOKUP("&lt;UTitel&gt;",Uebersetzungen!$B$3:$E$213,Uebersetzungen!$B$2+1,FALSE)</f>
        <v>Ständige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spans="1:22" s="8" customFormat="1" ht="15.75" thickBot="1" x14ac:dyDescent="0.25">
      <c r="A11" s="25"/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</row>
    <row r="12" spans="1:22" ht="18" x14ac:dyDescent="0.25">
      <c r="C12" s="123">
        <v>2024</v>
      </c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5"/>
    </row>
    <row r="13" spans="1:22" ht="39" customHeight="1" x14ac:dyDescent="0.2">
      <c r="A13" s="10"/>
      <c r="B13" s="16"/>
      <c r="C13" s="121" t="str">
        <f>VLOOKUP("&lt;SpaltenTitel_1&gt;",Uebersetzungen!$B$3:$E$213,Uebersetzungen!$B$2+1,FALSE)</f>
        <v>Total</v>
      </c>
      <c r="D13" s="122"/>
      <c r="E13" s="116" t="str">
        <f>VLOOKUP("&lt;SpaltenTitel_2&gt;",Uebersetzungen!$B$3:$E$213,Uebersetzungen!$B$2+1,FALSE)</f>
        <v>Evangelisch-reformiert</v>
      </c>
      <c r="F13" s="119"/>
      <c r="G13" s="122" t="str">
        <f>VLOOKUP("&lt;SpaltenTitel_3&gt;",Uebersetzungen!$B$3:$E$213,Uebersetzungen!$B$2+1,FALSE)</f>
        <v>Römisch-katholisch</v>
      </c>
      <c r="H13" s="119"/>
      <c r="I13" s="116" t="str">
        <f>VLOOKUP("&lt;SpaltenTitel_4&gt;",Uebersetzungen!$B$3:$E$213,Uebersetzungen!$B$2+1,FALSE)</f>
        <v>Christkatholisch (altkatholisch)</v>
      </c>
      <c r="J13" s="119"/>
      <c r="K13" s="116" t="str">
        <f>VLOOKUP("&lt;SpaltenTitel_5&gt;",Uebersetzungen!$B$3:$E$213,Uebersetzungen!$B$2+1,FALSE)</f>
        <v>Andere christliche Glaubensgemeinschaften</v>
      </c>
      <c r="L13" s="119"/>
      <c r="M13" s="116" t="str">
        <f>VLOOKUP("&lt;SpaltenTitel_6&gt;",Uebersetzungen!$B$3:$E$213,Uebersetzungen!$B$2+1,FALSE)</f>
        <v>Jüdische Glaubensgemeinschaften</v>
      </c>
      <c r="N13" s="119"/>
      <c r="O13" s="116" t="str">
        <f>VLOOKUP("&lt;SpaltenTitel_7&gt;",Uebersetzungen!$B$3:$E$213,Uebersetzungen!$B$2+1,FALSE)</f>
        <v>Islamische Glaubensgem.*</v>
      </c>
      <c r="P13" s="119"/>
      <c r="Q13" s="116" t="str">
        <f>VLOOKUP("&lt;SpaltenTitel_8&gt;",Uebersetzungen!$B$3:$E$213,Uebersetzungen!$B$2+1,FALSE)</f>
        <v>Andere Religionsgemeinschaften</v>
      </c>
      <c r="R13" s="119"/>
      <c r="S13" s="116" t="str">
        <f>VLOOKUP("&lt;SpaltenTitel_9&gt;",Uebersetzungen!$B$3:$E$213,Uebersetzungen!$B$2+1,FALSE)</f>
        <v>Ohne Religionszugehörigkeit</v>
      </c>
      <c r="T13" s="119"/>
      <c r="U13" s="116" t="str">
        <f>VLOOKUP("&lt;SpaltenTitel_10&gt;",Uebersetzungen!$B$3:$E$213,Uebersetzungen!$B$2+1,FALSE)</f>
        <v>Religionszugehörigkeit unbekannt</v>
      </c>
      <c r="V13" s="117"/>
    </row>
    <row r="14" spans="1:22" ht="39.75" customHeight="1" thickBot="1" x14ac:dyDescent="0.25">
      <c r="A14" s="26"/>
      <c r="B14" s="27"/>
      <c r="C14" s="43" t="str">
        <f>VLOOKUP("&lt;SpaltenTitel_1.1&gt;",Uebersetzungen!$B$3:$E$213,Uebersetzungen!$B$2+1,FALSE)</f>
        <v>Anzahl Personen</v>
      </c>
      <c r="D14" s="44" t="str">
        <f>VLOOKUP("&lt;SpaltenTitel_1.2&gt;",Uebersetzungen!$B$3:$E$213,Uebersetzungen!$B$2+1,FALSE)</f>
        <v>Vertrauens- intervall:          ± (in %)</v>
      </c>
      <c r="E14" s="47" t="str">
        <f>VLOOKUP("&lt;SpaltenTitel_1.1&gt;",Uebersetzungen!$B$3:$E$213,Uebersetzungen!$B$2+1,FALSE)</f>
        <v>Anzahl Personen</v>
      </c>
      <c r="F14" s="46" t="str">
        <f>VLOOKUP("&lt;SpaltenTitel_1.2&gt;",Uebersetzungen!$B$3:$E$213,Uebersetzungen!$B$2+1,FALSE)</f>
        <v>Vertrauens- intervall:          ± (in %)</v>
      </c>
      <c r="G14" s="45" t="str">
        <f>VLOOKUP("&lt;SpaltenTitel_1.1&gt;",Uebersetzungen!$B$3:$E$213,Uebersetzungen!$B$2+1,FALSE)</f>
        <v>Anzahl Personen</v>
      </c>
      <c r="H14" s="46" t="str">
        <f>VLOOKUP("&lt;SpaltenTitel_1.2&gt;",Uebersetzungen!$B$3:$E$213,Uebersetzungen!$B$2+1,FALSE)</f>
        <v>Vertrauens- intervall:          ± (in %)</v>
      </c>
      <c r="I14" s="47" t="str">
        <f>VLOOKUP("&lt;SpaltenTitel_1.1&gt;",Uebersetzungen!$B$3:$E$213,Uebersetzungen!$B$2+1,FALSE)</f>
        <v>Anzahl Personen</v>
      </c>
      <c r="J14" s="46" t="str">
        <f>VLOOKUP("&lt;SpaltenTitel_1.2&gt;",Uebersetzungen!$B$3:$E$213,Uebersetzungen!$B$2+1,FALSE)</f>
        <v>Vertrauens- intervall:          ± (in %)</v>
      </c>
      <c r="K14" s="47" t="str">
        <f>VLOOKUP("&lt;SpaltenTitel_1.1&gt;",Uebersetzungen!$B$3:$E$213,Uebersetzungen!$B$2+1,FALSE)</f>
        <v>Anzahl Personen</v>
      </c>
      <c r="L14" s="46" t="str">
        <f>VLOOKUP("&lt;SpaltenTitel_1.2&gt;",Uebersetzungen!$B$3:$E$213,Uebersetzungen!$B$2+1,FALSE)</f>
        <v>Vertrauens- intervall:          ± (in %)</v>
      </c>
      <c r="M14" s="47" t="str">
        <f>VLOOKUP("&lt;SpaltenTitel_1.1&gt;",Uebersetzungen!$B$3:$E$213,Uebersetzungen!$B$2+1,FALSE)</f>
        <v>Anzahl Personen</v>
      </c>
      <c r="N14" s="46" t="str">
        <f>VLOOKUP("&lt;SpaltenTitel_1.2&gt;",Uebersetzungen!$B$3:$E$213,Uebersetzungen!$B$2+1,FALSE)</f>
        <v>Vertrauens- intervall:          ± (in %)</v>
      </c>
      <c r="O14" s="47" t="str">
        <f>VLOOKUP("&lt;SpaltenTitel_1.1&gt;",Uebersetzungen!$B$3:$E$213,Uebersetzungen!$B$2+1,FALSE)</f>
        <v>Anzahl Personen</v>
      </c>
      <c r="P14" s="46" t="str">
        <f>VLOOKUP("&lt;SpaltenTitel_1.2&gt;",Uebersetzungen!$B$3:$E$213,Uebersetzungen!$B$2+1,FALSE)</f>
        <v>Vertrauens- intervall:          ± (in %)</v>
      </c>
      <c r="Q14" s="47" t="str">
        <f>VLOOKUP("&lt;SpaltenTitel_1.1&gt;",Uebersetzungen!$B$3:$E$213,Uebersetzungen!$B$2+1,FALSE)</f>
        <v>Anzahl Personen</v>
      </c>
      <c r="R14" s="46" t="str">
        <f>VLOOKUP("&lt;SpaltenTitel_1.2&gt;",Uebersetzungen!$B$3:$E$213,Uebersetzungen!$B$2+1,FALSE)</f>
        <v>Vertrauens- intervall:          ± (in %)</v>
      </c>
      <c r="S14" s="47" t="str">
        <f>VLOOKUP("&lt;SpaltenTitel_1.1&gt;",Uebersetzungen!$B$3:$E$213,Uebersetzungen!$B$2+1,FALSE)</f>
        <v>Anzahl Personen</v>
      </c>
      <c r="T14" s="46" t="str">
        <f>VLOOKUP("&lt;SpaltenTitel_1.2&gt;",Uebersetzungen!$B$3:$E$213,Uebersetzungen!$B$2+1,FALSE)</f>
        <v>Vertrauens- intervall:          ± (in %)</v>
      </c>
      <c r="U14" s="47" t="str">
        <f>VLOOKUP("&lt;SpaltenTitel_1.1&gt;",Uebersetzungen!$B$3:$E$213,Uebersetzungen!$B$2+1,FALSE)</f>
        <v>Anzahl Personen</v>
      </c>
      <c r="V14" s="48" t="str">
        <f>VLOOKUP("&lt;SpaltenTitel_1.2&gt;",Uebersetzungen!$B$3:$E$213,Uebersetzungen!$B$2+1,FALSE)</f>
        <v>Vertrauens- intervall:          ± (in %)</v>
      </c>
    </row>
    <row r="15" spans="1:22" ht="12" customHeight="1" x14ac:dyDescent="0.2">
      <c r="A15" s="118" t="str">
        <f>VLOOKUP("&lt;Zeilentitel_1&gt;",Uebersetzungen!$B$3:$E$212,Uebersetzungen!$B$2+1,FALSE)</f>
        <v>Total</v>
      </c>
      <c r="B15" s="118"/>
      <c r="C15" s="49">
        <v>175976.99999999566</v>
      </c>
      <c r="D15" s="50">
        <v>0.39675788464814338</v>
      </c>
      <c r="E15" s="51">
        <v>46179.637407971881</v>
      </c>
      <c r="F15" s="52">
        <v>4.5375674939224311</v>
      </c>
      <c r="G15" s="53">
        <v>63177.487176694543</v>
      </c>
      <c r="H15" s="50">
        <v>3.7357733495761107</v>
      </c>
      <c r="I15" s="54" t="s">
        <v>246</v>
      </c>
      <c r="J15" s="50" t="s">
        <v>246</v>
      </c>
      <c r="K15" s="53">
        <v>6961.9728023312346</v>
      </c>
      <c r="L15" s="55">
        <v>14.183942464357136</v>
      </c>
      <c r="M15" s="53" t="s">
        <v>246</v>
      </c>
      <c r="N15" s="50" t="s">
        <v>246</v>
      </c>
      <c r="O15" s="54">
        <v>3761.7609863633061</v>
      </c>
      <c r="P15" s="50">
        <v>20.830454294155611</v>
      </c>
      <c r="Q15" s="56">
        <v>1324.6302194520351</v>
      </c>
      <c r="R15" s="57">
        <v>32.382097971964335</v>
      </c>
      <c r="S15" s="53">
        <v>53307.38189888552</v>
      </c>
      <c r="T15" s="50">
        <v>4.2767369048164037</v>
      </c>
      <c r="U15" s="56">
        <v>1162.7414010893654</v>
      </c>
      <c r="V15" s="58">
        <v>34.443746117636607</v>
      </c>
    </row>
    <row r="16" spans="1:22" x14ac:dyDescent="0.2">
      <c r="A16" s="18" t="str">
        <f>VLOOKUP("&lt;Zeilentitel_2&gt;",Uebersetzungen!$B$3:$E$212,Uebersetzungen!$B$2+1,FALSE)</f>
        <v>Geschlecht</v>
      </c>
      <c r="B16" s="18" t="str">
        <f>VLOOKUP("&lt;Zeilentitel_2.1&gt;",Uebersetzungen!$B$3:$E$212,Uebersetzungen!$B$2+1,FALSE)</f>
        <v>Männer</v>
      </c>
      <c r="C16" s="59">
        <v>88469.999999996973</v>
      </c>
      <c r="D16" s="60">
        <v>2.8767215425128212</v>
      </c>
      <c r="E16" s="61">
        <v>21075.337484054606</v>
      </c>
      <c r="F16" s="62">
        <v>7.387087382315868</v>
      </c>
      <c r="G16" s="63">
        <v>32554.290110811467</v>
      </c>
      <c r="H16" s="60">
        <v>5.9513162626185636</v>
      </c>
      <c r="I16" s="64" t="s">
        <v>246</v>
      </c>
      <c r="J16" s="60" t="s">
        <v>246</v>
      </c>
      <c r="K16" s="63">
        <v>2928.4224517062885</v>
      </c>
      <c r="L16" s="65">
        <v>22.948468793208512</v>
      </c>
      <c r="M16" s="63" t="s">
        <v>246</v>
      </c>
      <c r="N16" s="60" t="s">
        <v>246</v>
      </c>
      <c r="O16" s="64">
        <v>2273.3156905009996</v>
      </c>
      <c r="P16" s="60">
        <v>27.523722571659928</v>
      </c>
      <c r="Q16" s="66">
        <v>665.03514181418007</v>
      </c>
      <c r="R16" s="67">
        <v>47.365225668590917</v>
      </c>
      <c r="S16" s="63">
        <v>28124.749673911298</v>
      </c>
      <c r="T16" s="60">
        <v>6.5725088283238637</v>
      </c>
      <c r="U16" s="66">
        <v>848.84944719813154</v>
      </c>
      <c r="V16" s="68">
        <v>40.795614032578122</v>
      </c>
    </row>
    <row r="17" spans="1:22" x14ac:dyDescent="0.2">
      <c r="A17" s="19"/>
      <c r="B17" s="19" t="str">
        <f>VLOOKUP("&lt;Zeilentitel_2.2&gt;",Uebersetzungen!$B$3:$E$212,Uebersetzungen!$B$2+1,FALSE)</f>
        <v>Frauen</v>
      </c>
      <c r="C17" s="69">
        <v>87506.999999998705</v>
      </c>
      <c r="D17" s="70">
        <v>2.73775567605681</v>
      </c>
      <c r="E17" s="71">
        <v>25104.299923917275</v>
      </c>
      <c r="F17" s="72">
        <v>6.6280342056345756</v>
      </c>
      <c r="G17" s="73">
        <v>30623.19706588308</v>
      </c>
      <c r="H17" s="70">
        <v>5.9564966545009064</v>
      </c>
      <c r="I17" s="74" t="s">
        <v>246</v>
      </c>
      <c r="J17" s="70" t="s">
        <v>246</v>
      </c>
      <c r="K17" s="73">
        <v>4033.5503506249461</v>
      </c>
      <c r="L17" s="75">
        <v>18.241884808212898</v>
      </c>
      <c r="M17" s="73" t="s">
        <v>246</v>
      </c>
      <c r="N17" s="70" t="s">
        <v>246</v>
      </c>
      <c r="O17" s="76">
        <v>1488.4452958623067</v>
      </c>
      <c r="P17" s="77">
        <v>32.054742685230551</v>
      </c>
      <c r="Q17" s="78">
        <v>659.59507763785507</v>
      </c>
      <c r="R17" s="79">
        <v>44.313859380651635</v>
      </c>
      <c r="S17" s="73">
        <v>25182.632224974219</v>
      </c>
      <c r="T17" s="70">
        <v>6.7081026124113432</v>
      </c>
      <c r="U17" s="78">
        <v>313.89195389123381</v>
      </c>
      <c r="V17" s="80">
        <v>64.411840975983054</v>
      </c>
    </row>
    <row r="18" spans="1:22" x14ac:dyDescent="0.2">
      <c r="A18" s="18" t="str">
        <f>VLOOKUP("&lt;Zeilentitel_3&gt;",Uebersetzungen!$B$3:$E$212,Uebersetzungen!$B$2+1,FALSE)</f>
        <v>Alter</v>
      </c>
      <c r="B18" s="18" t="str">
        <f>VLOOKUP("&lt;Zeilentitel_3.1&gt;",Uebersetzungen!$B$3:$E$212,Uebersetzungen!$B$2+1,FALSE)</f>
        <v>15-24</v>
      </c>
      <c r="C18" s="81">
        <v>18707.999999999483</v>
      </c>
      <c r="D18" s="82">
        <v>8.3015949454829396</v>
      </c>
      <c r="E18" s="83">
        <v>5417.5139497576893</v>
      </c>
      <c r="F18" s="84">
        <v>15.285112992486699</v>
      </c>
      <c r="G18" s="85">
        <v>6837.6319270930135</v>
      </c>
      <c r="H18" s="82">
        <v>14.345476499487184</v>
      </c>
      <c r="I18" s="86" t="s">
        <v>246</v>
      </c>
      <c r="J18" s="82" t="s">
        <v>246</v>
      </c>
      <c r="K18" s="87">
        <v>901.56395944143378</v>
      </c>
      <c r="L18" s="88">
        <v>42.473557540393678</v>
      </c>
      <c r="M18" s="85" t="s">
        <v>246</v>
      </c>
      <c r="N18" s="82" t="s">
        <v>246</v>
      </c>
      <c r="O18" s="89">
        <v>570.21007563766091</v>
      </c>
      <c r="P18" s="90">
        <v>58.043079749251099</v>
      </c>
      <c r="Q18" s="87">
        <v>194.80877706461655</v>
      </c>
      <c r="R18" s="88">
        <v>87.35374936081007</v>
      </c>
      <c r="S18" s="85">
        <v>4673.5982166376934</v>
      </c>
      <c r="T18" s="82">
        <v>17.292660908375112</v>
      </c>
      <c r="U18" s="85" t="s">
        <v>246</v>
      </c>
      <c r="V18" s="91" t="s">
        <v>246</v>
      </c>
    </row>
    <row r="19" spans="1:22" x14ac:dyDescent="0.2">
      <c r="A19" s="18"/>
      <c r="B19" s="18" t="str">
        <f>VLOOKUP("&lt;Zeilentitel_3.2&gt;",Uebersetzungen!$B$3:$E$212,Uebersetzungen!$B$2+1,FALSE)</f>
        <v>25-44</v>
      </c>
      <c r="C19" s="81">
        <v>51762.99999999861</v>
      </c>
      <c r="D19" s="82">
        <v>4.5313758844237242</v>
      </c>
      <c r="E19" s="83">
        <v>11274.362891549261</v>
      </c>
      <c r="F19" s="84">
        <v>10.671421608394752</v>
      </c>
      <c r="G19" s="85">
        <v>16613.497604768178</v>
      </c>
      <c r="H19" s="82">
        <v>8.9753231491095331</v>
      </c>
      <c r="I19" s="86" t="s">
        <v>246</v>
      </c>
      <c r="J19" s="82" t="s">
        <v>246</v>
      </c>
      <c r="K19" s="85">
        <v>2238.7225605109466</v>
      </c>
      <c r="L19" s="92">
        <v>26.024598859673151</v>
      </c>
      <c r="M19" s="85" t="s">
        <v>246</v>
      </c>
      <c r="N19" s="82" t="s">
        <v>246</v>
      </c>
      <c r="O19" s="93">
        <v>2042.1935304587078</v>
      </c>
      <c r="P19" s="90">
        <v>28.400263844426497</v>
      </c>
      <c r="Q19" s="87">
        <v>424.75787349092695</v>
      </c>
      <c r="R19" s="88">
        <v>59.118431035153286</v>
      </c>
      <c r="S19" s="85">
        <v>18764.895599114992</v>
      </c>
      <c r="T19" s="82">
        <v>8.3915270898585756</v>
      </c>
      <c r="U19" s="87">
        <v>337.2017358951008</v>
      </c>
      <c r="V19" s="94">
        <v>69.096156111425373</v>
      </c>
    </row>
    <row r="20" spans="1:22" x14ac:dyDescent="0.2">
      <c r="A20" s="18"/>
      <c r="B20" s="18" t="str">
        <f>VLOOKUP("&lt;Zeilentitel_3.3&gt;",Uebersetzungen!$B$3:$E$212,Uebersetzungen!$B$2+1,FALSE)</f>
        <v>45-64</v>
      </c>
      <c r="C20" s="81">
        <v>59050.99999999861</v>
      </c>
      <c r="D20" s="82">
        <v>3.8862069883361201</v>
      </c>
      <c r="E20" s="83">
        <v>13894.942969369138</v>
      </c>
      <c r="F20" s="84">
        <v>9.2741243972140381</v>
      </c>
      <c r="G20" s="85">
        <v>22481.823734632879</v>
      </c>
      <c r="H20" s="82">
        <v>7.2107797570161161</v>
      </c>
      <c r="I20" s="86" t="s">
        <v>246</v>
      </c>
      <c r="J20" s="82" t="s">
        <v>246</v>
      </c>
      <c r="K20" s="85">
        <v>2264.9125200245244</v>
      </c>
      <c r="L20" s="92">
        <v>24.76516238355504</v>
      </c>
      <c r="M20" s="85" t="s">
        <v>246</v>
      </c>
      <c r="N20" s="82" t="s">
        <v>246</v>
      </c>
      <c r="O20" s="89">
        <v>781.49361456791405</v>
      </c>
      <c r="P20" s="90">
        <v>43.767770422148146</v>
      </c>
      <c r="Q20" s="87">
        <v>391.38226854792697</v>
      </c>
      <c r="R20" s="88">
        <v>58.301054264769874</v>
      </c>
      <c r="S20" s="85">
        <v>19013.412221143099</v>
      </c>
      <c r="T20" s="82">
        <v>7.970925211457252</v>
      </c>
      <c r="U20" s="87">
        <v>223.03267171313385</v>
      </c>
      <c r="V20" s="94">
        <v>79.192938632530854</v>
      </c>
    </row>
    <row r="21" spans="1:22" x14ac:dyDescent="0.2">
      <c r="A21" s="19"/>
      <c r="B21" s="19" t="str">
        <f>VLOOKUP("&lt;Zeilentitel_3.4&gt;",Uebersetzungen!$B$3:$E$212,Uebersetzungen!$B$2+1,FALSE)</f>
        <v>65 und mehr</v>
      </c>
      <c r="C21" s="81">
        <v>46454.999999998792</v>
      </c>
      <c r="D21" s="82">
        <v>4.4091517919039491</v>
      </c>
      <c r="E21" s="83">
        <v>15592.817597295721</v>
      </c>
      <c r="F21" s="84">
        <v>8.5166275976778518</v>
      </c>
      <c r="G21" s="85">
        <v>17244.533910200389</v>
      </c>
      <c r="H21" s="82">
        <v>8.051470738793487</v>
      </c>
      <c r="I21" s="86" t="s">
        <v>246</v>
      </c>
      <c r="J21" s="82" t="s">
        <v>246</v>
      </c>
      <c r="K21" s="95">
        <v>1556.7737623543308</v>
      </c>
      <c r="L21" s="88">
        <v>28.799215511873442</v>
      </c>
      <c r="M21" s="85" t="s">
        <v>246</v>
      </c>
      <c r="N21" s="82" t="s">
        <v>246</v>
      </c>
      <c r="O21" s="89">
        <v>367.86376569902427</v>
      </c>
      <c r="P21" s="90">
        <v>65.38086545865238</v>
      </c>
      <c r="Q21" s="87">
        <v>313.68130034856489</v>
      </c>
      <c r="R21" s="88">
        <v>64.459776314312137</v>
      </c>
      <c r="S21" s="85">
        <v>10855.475861989722</v>
      </c>
      <c r="T21" s="82">
        <v>10.398503561623475</v>
      </c>
      <c r="U21" s="87">
        <v>489.83389911375394</v>
      </c>
      <c r="V21" s="94">
        <v>49.897741874812809</v>
      </c>
    </row>
    <row r="22" spans="1:22" x14ac:dyDescent="0.2">
      <c r="A22" s="18" t="str">
        <f>VLOOKUP("&lt;Zeilentitel_4&gt;",Uebersetzungen!$B$3:$E$212,Uebersetzungen!$B$2+1,FALSE)</f>
        <v>Staatsangehörigkeit</v>
      </c>
      <c r="B22" s="18" t="str">
        <f>VLOOKUP("&lt;Zeilentitel_4.1&gt;",Uebersetzungen!$B$3:$E$212,Uebersetzungen!$B$2+1,FALSE)</f>
        <v>Schweiz</v>
      </c>
      <c r="C22" s="59">
        <v>139479.99999999531</v>
      </c>
      <c r="D22" s="60">
        <v>1.3160876423396128</v>
      </c>
      <c r="E22" s="61">
        <v>44361.887300520582</v>
      </c>
      <c r="F22" s="62">
        <v>4.6500591529525792</v>
      </c>
      <c r="G22" s="63">
        <v>49154.401035766976</v>
      </c>
      <c r="H22" s="60">
        <v>4.3414644169968009</v>
      </c>
      <c r="I22" s="64" t="s">
        <v>246</v>
      </c>
      <c r="J22" s="60" t="s">
        <v>246</v>
      </c>
      <c r="K22" s="63">
        <v>3643.1792991736402</v>
      </c>
      <c r="L22" s="65">
        <v>18.736906726301751</v>
      </c>
      <c r="M22" s="63" t="s">
        <v>246</v>
      </c>
      <c r="N22" s="60" t="s">
        <v>246</v>
      </c>
      <c r="O22" s="96">
        <v>1334.9783395508143</v>
      </c>
      <c r="P22" s="97">
        <v>31.75955608139115</v>
      </c>
      <c r="Q22" s="66">
        <v>892.92273329235184</v>
      </c>
      <c r="R22" s="67">
        <v>38.682696269386639</v>
      </c>
      <c r="S22" s="63">
        <v>39083.172686460603</v>
      </c>
      <c r="T22" s="60">
        <v>5.0598144516639012</v>
      </c>
      <c r="U22" s="66">
        <v>908.07049802256495</v>
      </c>
      <c r="V22" s="68">
        <v>37.904195907598847</v>
      </c>
    </row>
    <row r="23" spans="1:22" x14ac:dyDescent="0.2">
      <c r="A23" s="18"/>
      <c r="B23" s="18" t="str">
        <f>VLOOKUP("&lt;Zeilentitel_4.2&gt;",Uebersetzungen!$B$3:$E$212,Uebersetzungen!$B$2+1,FALSE)</f>
        <v>EU und EFTA</v>
      </c>
      <c r="C23" s="81">
        <v>28464.778974147004</v>
      </c>
      <c r="D23" s="82">
        <v>6.8848591999867148</v>
      </c>
      <c r="E23" s="98">
        <v>1698.2395587906065</v>
      </c>
      <c r="F23" s="99">
        <v>28.847204440375169</v>
      </c>
      <c r="G23" s="85">
        <v>13561.743427383282</v>
      </c>
      <c r="H23" s="82">
        <v>10.434663080380833</v>
      </c>
      <c r="I23" s="86" t="s">
        <v>246</v>
      </c>
      <c r="J23" s="82" t="s">
        <v>246</v>
      </c>
      <c r="K23" s="95">
        <v>1460.6523556688712</v>
      </c>
      <c r="L23" s="88">
        <v>32.158733277615234</v>
      </c>
      <c r="M23" s="85" t="s">
        <v>246</v>
      </c>
      <c r="N23" s="82" t="s">
        <v>246</v>
      </c>
      <c r="O23" s="86" t="s">
        <v>246</v>
      </c>
      <c r="P23" s="82" t="s">
        <v>246</v>
      </c>
      <c r="Q23" s="85" t="s">
        <v>246</v>
      </c>
      <c r="R23" s="92" t="s">
        <v>246</v>
      </c>
      <c r="S23" s="85">
        <v>11377.054882404873</v>
      </c>
      <c r="T23" s="82">
        <v>11.43164442605814</v>
      </c>
      <c r="U23" s="87">
        <v>204.8929750835444</v>
      </c>
      <c r="V23" s="94">
        <v>88.708823525289972</v>
      </c>
    </row>
    <row r="24" spans="1:22" x14ac:dyDescent="0.2">
      <c r="A24" s="18"/>
      <c r="B24" s="18" t="str">
        <f>VLOOKUP("&lt;Zeilentitel_4.3&gt;",Uebersetzungen!$B$3:$E$212,Uebersetzungen!$B$2+1,FALSE)</f>
        <v>Anderer europäischer Staat</v>
      </c>
      <c r="C24" s="81">
        <v>4405.4967638607159</v>
      </c>
      <c r="D24" s="82">
        <v>19.78768188949455</v>
      </c>
      <c r="E24" s="83" t="s">
        <v>246</v>
      </c>
      <c r="F24" s="84" t="s">
        <v>246</v>
      </c>
      <c r="G24" s="85" t="s">
        <v>246</v>
      </c>
      <c r="H24" s="82" t="s">
        <v>246</v>
      </c>
      <c r="I24" s="86" t="s">
        <v>246</v>
      </c>
      <c r="J24" s="82" t="s">
        <v>246</v>
      </c>
      <c r="K24" s="95">
        <v>1289.912545666949</v>
      </c>
      <c r="L24" s="88">
        <v>35.053595619707394</v>
      </c>
      <c r="M24" s="85" t="s">
        <v>246</v>
      </c>
      <c r="N24" s="82" t="s">
        <v>246</v>
      </c>
      <c r="O24" s="93">
        <v>1153.6452105052563</v>
      </c>
      <c r="P24" s="90">
        <v>40.256595600799528</v>
      </c>
      <c r="Q24" s="85" t="s">
        <v>246</v>
      </c>
      <c r="R24" s="92" t="s">
        <v>246</v>
      </c>
      <c r="S24" s="95">
        <v>1914.6637290389272</v>
      </c>
      <c r="T24" s="90">
        <v>30.504164013539008</v>
      </c>
      <c r="U24" s="85" t="s">
        <v>246</v>
      </c>
      <c r="V24" s="91" t="s">
        <v>246</v>
      </c>
    </row>
    <row r="25" spans="1:22" x14ac:dyDescent="0.2">
      <c r="A25" s="18"/>
      <c r="B25" s="18" t="str">
        <f>VLOOKUP("&lt;Zeilentitel_4.4&gt;",Uebersetzungen!$B$3:$E$212,Uebersetzungen!$B$2+1,FALSE)</f>
        <v>Aussereuropäischer Staat</v>
      </c>
      <c r="C25" s="81">
        <v>3626.7242619924314</v>
      </c>
      <c r="D25" s="82">
        <v>21.364364793245258</v>
      </c>
      <c r="E25" s="83" t="s">
        <v>246</v>
      </c>
      <c r="F25" s="84" t="s">
        <v>246</v>
      </c>
      <c r="G25" s="87">
        <v>414.06743489465259</v>
      </c>
      <c r="H25" s="90">
        <v>58.794417774799825</v>
      </c>
      <c r="I25" s="86" t="s">
        <v>246</v>
      </c>
      <c r="J25" s="82" t="s">
        <v>246</v>
      </c>
      <c r="K25" s="87">
        <v>568.22860182177533</v>
      </c>
      <c r="L25" s="88">
        <v>57.727623202084239</v>
      </c>
      <c r="M25" s="85" t="s">
        <v>246</v>
      </c>
      <c r="N25" s="82" t="s">
        <v>246</v>
      </c>
      <c r="O25" s="93">
        <v>1110.9416614914128</v>
      </c>
      <c r="P25" s="90">
        <v>40.308806598553858</v>
      </c>
      <c r="Q25" s="87">
        <v>431.70748615968358</v>
      </c>
      <c r="R25" s="88">
        <v>59.179155474701894</v>
      </c>
      <c r="S25" s="87">
        <v>932.49060098110658</v>
      </c>
      <c r="T25" s="90">
        <v>41.301019800205879</v>
      </c>
      <c r="U25" s="85" t="s">
        <v>246</v>
      </c>
      <c r="V25" s="91" t="s">
        <v>246</v>
      </c>
    </row>
    <row r="26" spans="1:22" x14ac:dyDescent="0.2">
      <c r="A26" s="19"/>
      <c r="B26" s="19" t="str">
        <f>VLOOKUP("&lt;Zeilentitel_4.5&gt;",Uebersetzungen!$B$3:$E$212,Uebersetzungen!$B$2+1,FALSE)</f>
        <v>Staatsangehörigkeit unbekannt</v>
      </c>
      <c r="C26" s="69" t="s">
        <v>246</v>
      </c>
      <c r="D26" s="70" t="s">
        <v>246</v>
      </c>
      <c r="E26" s="71" t="s">
        <v>246</v>
      </c>
      <c r="F26" s="72" t="s">
        <v>246</v>
      </c>
      <c r="G26" s="73" t="s">
        <v>246</v>
      </c>
      <c r="H26" s="70" t="s">
        <v>246</v>
      </c>
      <c r="I26" s="74" t="s">
        <v>246</v>
      </c>
      <c r="J26" s="70" t="s">
        <v>246</v>
      </c>
      <c r="K26" s="73" t="s">
        <v>246</v>
      </c>
      <c r="L26" s="75" t="s">
        <v>246</v>
      </c>
      <c r="M26" s="73" t="s">
        <v>246</v>
      </c>
      <c r="N26" s="70" t="s">
        <v>246</v>
      </c>
      <c r="O26" s="74" t="s">
        <v>246</v>
      </c>
      <c r="P26" s="70" t="s">
        <v>246</v>
      </c>
      <c r="Q26" s="73" t="s">
        <v>246</v>
      </c>
      <c r="R26" s="75" t="s">
        <v>246</v>
      </c>
      <c r="S26" s="73" t="s">
        <v>246</v>
      </c>
      <c r="T26" s="70" t="s">
        <v>246</v>
      </c>
      <c r="U26" s="73" t="s">
        <v>246</v>
      </c>
      <c r="V26" s="100" t="s">
        <v>246</v>
      </c>
    </row>
    <row r="27" spans="1:22" x14ac:dyDescent="0.2">
      <c r="A27" s="18" t="str">
        <f>VLOOKUP("&lt;Zeilentitel_5&gt;",Uebersetzungen!$B$3:$E$212,Uebersetzungen!$B$2+1,FALSE)</f>
        <v>Migrationsstatus</v>
      </c>
      <c r="B27" s="18" t="str">
        <f>VLOOKUP("&lt;Zeilentitel_5.1&gt;",Uebersetzungen!$B$3:$E$212,Uebersetzungen!$B$2+1,FALSE)</f>
        <v>Schweizer/innen ohne Migrationshintergrund</v>
      </c>
      <c r="C27" s="81">
        <v>122172.64107475593</v>
      </c>
      <c r="D27" s="82">
        <v>1.7493769218530262</v>
      </c>
      <c r="E27" s="83">
        <v>42611.010517502902</v>
      </c>
      <c r="F27" s="84">
        <v>4.7782104049900544</v>
      </c>
      <c r="G27" s="85">
        <v>42444.668947879021</v>
      </c>
      <c r="H27" s="82">
        <v>4.8062090730445721</v>
      </c>
      <c r="I27" s="86" t="s">
        <v>246</v>
      </c>
      <c r="J27" s="82" t="s">
        <v>246</v>
      </c>
      <c r="K27" s="85">
        <v>2163.5121474057992</v>
      </c>
      <c r="L27" s="92">
        <v>24.516729780302782</v>
      </c>
      <c r="M27" s="85" t="s">
        <v>246</v>
      </c>
      <c r="N27" s="82" t="s">
        <v>246</v>
      </c>
      <c r="O27" s="86" t="s">
        <v>246</v>
      </c>
      <c r="P27" s="82" t="s">
        <v>246</v>
      </c>
      <c r="Q27" s="87">
        <v>496.62589763340867</v>
      </c>
      <c r="R27" s="88">
        <v>51.714990988701942</v>
      </c>
      <c r="S27" s="85">
        <v>33519.288094380565</v>
      </c>
      <c r="T27" s="82">
        <v>5.5841137637596345</v>
      </c>
      <c r="U27" s="87">
        <v>832.91755958957253</v>
      </c>
      <c r="V27" s="94">
        <v>39.442840206612772</v>
      </c>
    </row>
    <row r="28" spans="1:22" x14ac:dyDescent="0.2">
      <c r="A28" s="18"/>
      <c r="B28" s="18" t="str">
        <f>VLOOKUP("&lt;Zeilentitel_5.2&gt;",Uebersetzungen!$B$3:$E$212,Uebersetzungen!$B$2+1,FALSE)</f>
        <v>Schweizer/innen mit Migrationshintergrund</v>
      </c>
      <c r="C28" s="81">
        <v>16792.664144571507</v>
      </c>
      <c r="D28" s="82">
        <v>8.3186880237247642</v>
      </c>
      <c r="E28" s="98">
        <v>1640.2946076756814</v>
      </c>
      <c r="F28" s="99">
        <v>27.791855768034569</v>
      </c>
      <c r="G28" s="85">
        <v>6555.8375297581561</v>
      </c>
      <c r="H28" s="82">
        <v>13.705062228646151</v>
      </c>
      <c r="I28" s="86" t="s">
        <v>246</v>
      </c>
      <c r="J28" s="82" t="s">
        <v>246</v>
      </c>
      <c r="K28" s="95">
        <v>1479.6671517678403</v>
      </c>
      <c r="L28" s="88">
        <v>29.417609456645692</v>
      </c>
      <c r="M28" s="85" t="s">
        <v>246</v>
      </c>
      <c r="N28" s="82" t="s">
        <v>246</v>
      </c>
      <c r="O28" s="93">
        <v>1297.7286333966686</v>
      </c>
      <c r="P28" s="90">
        <v>32.203679012829092</v>
      </c>
      <c r="Q28" s="87">
        <v>357.5089945828683</v>
      </c>
      <c r="R28" s="88">
        <v>61.311225187941695</v>
      </c>
      <c r="S28" s="85">
        <v>5393.5874213957195</v>
      </c>
      <c r="T28" s="82">
        <v>15.170029998217645</v>
      </c>
      <c r="U28" s="85" t="s">
        <v>246</v>
      </c>
      <c r="V28" s="91" t="s">
        <v>246</v>
      </c>
    </row>
    <row r="29" spans="1:22" x14ac:dyDescent="0.2">
      <c r="A29" s="18"/>
      <c r="B29" s="18" t="str">
        <f>VLOOKUP("&lt;Zeilentitel_5.3&gt;",Uebersetzungen!$B$3:$E$212,Uebersetzungen!$B$2+1,FALSE)</f>
        <v>Ausländer/innen der ersten Generation</v>
      </c>
      <c r="C29" s="81">
        <v>34475.342092880492</v>
      </c>
      <c r="D29" s="82">
        <v>6.2304465488433767</v>
      </c>
      <c r="E29" s="98">
        <v>1779.560218967735</v>
      </c>
      <c r="F29" s="99">
        <v>28.225761252334877</v>
      </c>
      <c r="G29" s="85">
        <v>12801.458306787581</v>
      </c>
      <c r="H29" s="82">
        <v>10.75559665505091</v>
      </c>
      <c r="I29" s="86" t="s">
        <v>246</v>
      </c>
      <c r="J29" s="82" t="s">
        <v>246</v>
      </c>
      <c r="K29" s="85">
        <v>3281.2534731112823</v>
      </c>
      <c r="L29" s="92">
        <v>22.027232316082884</v>
      </c>
      <c r="M29" s="85" t="s">
        <v>246</v>
      </c>
      <c r="N29" s="82" t="s">
        <v>246</v>
      </c>
      <c r="O29" s="86">
        <v>2297.5466378196852</v>
      </c>
      <c r="P29" s="82">
        <v>27.736063664145103</v>
      </c>
      <c r="Q29" s="87">
        <v>382.01965502240853</v>
      </c>
      <c r="R29" s="88">
        <v>61.989928629534553</v>
      </c>
      <c r="S29" s="85">
        <v>13706.865261042201</v>
      </c>
      <c r="T29" s="82">
        <v>10.47364058466543</v>
      </c>
      <c r="U29" s="87">
        <v>226.6385401295916</v>
      </c>
      <c r="V29" s="94">
        <v>87.524102419742206</v>
      </c>
    </row>
    <row r="30" spans="1:22" x14ac:dyDescent="0.2">
      <c r="A30" s="18"/>
      <c r="B30" s="18" t="str">
        <f>VLOOKUP("&lt;Zeilentitel_5.4&gt;",Uebersetzungen!$B$3:$E$212,Uebersetzungen!$B$2+1,FALSE)</f>
        <v>Ausländer/innen der zweiten und höheren Generation</v>
      </c>
      <c r="C30" s="101">
        <v>2021.6579071196716</v>
      </c>
      <c r="D30" s="90">
        <v>28.076510886061907</v>
      </c>
      <c r="E30" s="83" t="s">
        <v>246</v>
      </c>
      <c r="F30" s="84" t="s">
        <v>246</v>
      </c>
      <c r="G30" s="95">
        <v>1221.6278341399436</v>
      </c>
      <c r="H30" s="90">
        <v>35.548236746531977</v>
      </c>
      <c r="I30" s="86" t="s">
        <v>246</v>
      </c>
      <c r="J30" s="82" t="s">
        <v>246</v>
      </c>
      <c r="K30" s="85" t="s">
        <v>246</v>
      </c>
      <c r="L30" s="92" t="s">
        <v>246</v>
      </c>
      <c r="M30" s="85" t="s">
        <v>246</v>
      </c>
      <c r="N30" s="82" t="s">
        <v>246</v>
      </c>
      <c r="O30" s="86" t="s">
        <v>246</v>
      </c>
      <c r="P30" s="82" t="s">
        <v>246</v>
      </c>
      <c r="Q30" s="85" t="s">
        <v>246</v>
      </c>
      <c r="R30" s="92" t="s">
        <v>246</v>
      </c>
      <c r="S30" s="87">
        <v>517.3439513827085</v>
      </c>
      <c r="T30" s="90">
        <v>54.313166034842254</v>
      </c>
      <c r="U30" s="85" t="s">
        <v>246</v>
      </c>
      <c r="V30" s="91" t="s">
        <v>246</v>
      </c>
    </row>
    <row r="31" spans="1:22" x14ac:dyDescent="0.2">
      <c r="A31" s="19"/>
      <c r="B31" s="19" t="str">
        <f>VLOOKUP("&lt;Zeilentitel_5.5&gt;",Uebersetzungen!$B$3:$E$212,Uebersetzungen!$B$2+1,FALSE)</f>
        <v>Migrationshintergrund unbekannt</v>
      </c>
      <c r="C31" s="102">
        <v>514.69478066784825</v>
      </c>
      <c r="D31" s="90">
        <v>50.328158876178698</v>
      </c>
      <c r="E31" s="83" t="s">
        <v>246</v>
      </c>
      <c r="F31" s="84" t="s">
        <v>246</v>
      </c>
      <c r="G31" s="87">
        <v>153.89455812979077</v>
      </c>
      <c r="H31" s="90">
        <v>87.821401565879043</v>
      </c>
      <c r="I31" s="86" t="s">
        <v>246</v>
      </c>
      <c r="J31" s="82" t="s">
        <v>246</v>
      </c>
      <c r="K31" s="85" t="s">
        <v>246</v>
      </c>
      <c r="L31" s="92" t="s">
        <v>246</v>
      </c>
      <c r="M31" s="85" t="s">
        <v>246</v>
      </c>
      <c r="N31" s="82" t="s">
        <v>246</v>
      </c>
      <c r="O31" s="86" t="s">
        <v>246</v>
      </c>
      <c r="P31" s="82" t="s">
        <v>246</v>
      </c>
      <c r="Q31" s="85" t="s">
        <v>246</v>
      </c>
      <c r="R31" s="92" t="s">
        <v>246</v>
      </c>
      <c r="S31" s="87">
        <v>170.29717068428573</v>
      </c>
      <c r="T31" s="90">
        <v>86.42663484143975</v>
      </c>
      <c r="U31" s="85" t="s">
        <v>246</v>
      </c>
      <c r="V31" s="91" t="s">
        <v>246</v>
      </c>
    </row>
    <row r="32" spans="1:22" x14ac:dyDescent="0.2">
      <c r="A32" s="18" t="str">
        <f>VLOOKUP("&lt;Zeilentitel_6&gt;",Uebersetzungen!$B$3:$E$212,Uebersetzungen!$B$2+1,FALSE)</f>
        <v>Arbeitsmarktstatus</v>
      </c>
      <c r="B32" s="18" t="str">
        <f>VLOOKUP("&lt;Zeilentitel_6.1&gt;",Uebersetzungen!$B$3:$E$212,Uebersetzungen!$B$2+1,FALSE)</f>
        <v>Erwerbstätige</v>
      </c>
      <c r="C32" s="59">
        <v>110190.32702338909</v>
      </c>
      <c r="D32" s="60">
        <v>2.2402588065625397</v>
      </c>
      <c r="E32" s="61">
        <v>26050.458848638023</v>
      </c>
      <c r="F32" s="62">
        <v>6.5746876775205783</v>
      </c>
      <c r="G32" s="63">
        <v>39325.842468193187</v>
      </c>
      <c r="H32" s="60">
        <v>5.2869002831204321</v>
      </c>
      <c r="I32" s="64" t="s">
        <v>246</v>
      </c>
      <c r="J32" s="60" t="s">
        <v>246</v>
      </c>
      <c r="K32" s="63">
        <v>4092.2355011122759</v>
      </c>
      <c r="L32" s="65">
        <v>18.745447071525525</v>
      </c>
      <c r="M32" s="63" t="s">
        <v>246</v>
      </c>
      <c r="N32" s="60" t="s">
        <v>246</v>
      </c>
      <c r="O32" s="64">
        <v>2410.1322973407632</v>
      </c>
      <c r="P32" s="60">
        <v>25.709146507301924</v>
      </c>
      <c r="Q32" s="66">
        <v>707.26635102407568</v>
      </c>
      <c r="R32" s="67">
        <v>44.759881154637576</v>
      </c>
      <c r="S32" s="63">
        <v>36967.559863112911</v>
      </c>
      <c r="T32" s="60">
        <v>5.4959137178196826</v>
      </c>
      <c r="U32" s="66">
        <v>603.68835447784204</v>
      </c>
      <c r="V32" s="68">
        <v>50.318252451538918</v>
      </c>
    </row>
    <row r="33" spans="1:22" x14ac:dyDescent="0.2">
      <c r="A33" s="18"/>
      <c r="B33" s="18" t="str">
        <f>VLOOKUP("&lt;Zeilentitel_6.2&gt;",Uebersetzungen!$B$3:$E$212,Uebersetzungen!$B$2+1,FALSE)</f>
        <v>Erwerbslose</v>
      </c>
      <c r="C33" s="81">
        <v>2284.4069618137946</v>
      </c>
      <c r="D33" s="82">
        <v>25.177421180026492</v>
      </c>
      <c r="E33" s="103">
        <v>414.3484367288126</v>
      </c>
      <c r="F33" s="99">
        <v>58.559174761989681</v>
      </c>
      <c r="G33" s="87">
        <v>872.41470062458495</v>
      </c>
      <c r="H33" s="90">
        <v>40.837208006888964</v>
      </c>
      <c r="I33" s="86" t="s">
        <v>246</v>
      </c>
      <c r="J33" s="82" t="s">
        <v>246</v>
      </c>
      <c r="K33" s="85" t="s">
        <v>246</v>
      </c>
      <c r="L33" s="92" t="s">
        <v>246</v>
      </c>
      <c r="M33" s="85" t="s">
        <v>246</v>
      </c>
      <c r="N33" s="82" t="s">
        <v>246</v>
      </c>
      <c r="O33" s="86" t="s">
        <v>246</v>
      </c>
      <c r="P33" s="82" t="s">
        <v>246</v>
      </c>
      <c r="Q33" s="85" t="s">
        <v>246</v>
      </c>
      <c r="R33" s="92" t="s">
        <v>246</v>
      </c>
      <c r="S33" s="87">
        <v>886.85443306090099</v>
      </c>
      <c r="T33" s="90">
        <v>41.000040964768353</v>
      </c>
      <c r="U33" s="85" t="s">
        <v>246</v>
      </c>
      <c r="V33" s="91" t="s">
        <v>246</v>
      </c>
    </row>
    <row r="34" spans="1:22" x14ac:dyDescent="0.2">
      <c r="A34" s="19"/>
      <c r="B34" s="19" t="str">
        <f>VLOOKUP("&lt;Zeilentitel_6.3&gt;",Uebersetzungen!$B$3:$E$212,Uebersetzungen!$B$2+1,FALSE)</f>
        <v>Nichterwerbspersonen</v>
      </c>
      <c r="C34" s="69">
        <v>63502.266014792789</v>
      </c>
      <c r="D34" s="70">
        <v>3.613524628074698</v>
      </c>
      <c r="E34" s="71">
        <v>19714.830122605006</v>
      </c>
      <c r="F34" s="72">
        <v>7.5325856119288854</v>
      </c>
      <c r="G34" s="73">
        <v>22979.230007876726</v>
      </c>
      <c r="H34" s="70">
        <v>6.9793979821493952</v>
      </c>
      <c r="I34" s="74" t="s">
        <v>246</v>
      </c>
      <c r="J34" s="70" t="s">
        <v>246</v>
      </c>
      <c r="K34" s="73">
        <v>2827.7880430934588</v>
      </c>
      <c r="L34" s="75">
        <v>22.31165811312448</v>
      </c>
      <c r="M34" s="73" t="s">
        <v>246</v>
      </c>
      <c r="N34" s="70" t="s">
        <v>246</v>
      </c>
      <c r="O34" s="76">
        <v>1351.6286890225431</v>
      </c>
      <c r="P34" s="77">
        <v>35.86679003118585</v>
      </c>
      <c r="Q34" s="78">
        <v>548.52373515396573</v>
      </c>
      <c r="R34" s="79">
        <v>50.136135602629075</v>
      </c>
      <c r="S34" s="73">
        <v>15452.967602711778</v>
      </c>
      <c r="T34" s="70">
        <v>8.8574626062539892</v>
      </c>
      <c r="U34" s="78">
        <v>559.05304661152331</v>
      </c>
      <c r="V34" s="80">
        <v>46.860690564620789</v>
      </c>
    </row>
    <row r="35" spans="1:22" ht="12.75" customHeight="1" x14ac:dyDescent="0.2">
      <c r="A35" s="22" t="str">
        <f>VLOOKUP("&lt;Zeilentitel_7&gt;",Uebersetzungen!$B$3:$E$212,Uebersetzungen!$B$2+1,FALSE)</f>
        <v>Sozioprofessionelle Kategorien</v>
      </c>
      <c r="B35" s="22" t="str">
        <f>VLOOKUP("&lt;Zeilentitel_7.1&gt;",Uebersetzungen!$B$3:$E$212,Uebersetzungen!$B$2+1,FALSE)</f>
        <v>Oberstes Management</v>
      </c>
      <c r="C35" s="81">
        <v>2591.8218815840164</v>
      </c>
      <c r="D35" s="82">
        <v>22.096779166267041</v>
      </c>
      <c r="E35" s="103">
        <v>586.40260350671838</v>
      </c>
      <c r="F35" s="99">
        <v>46.996251480198467</v>
      </c>
      <c r="G35" s="87">
        <v>800.70290068119857</v>
      </c>
      <c r="H35" s="90">
        <v>39.39294682640584</v>
      </c>
      <c r="I35" s="86" t="s">
        <v>246</v>
      </c>
      <c r="J35" s="82" t="s">
        <v>246</v>
      </c>
      <c r="K35" s="85" t="s">
        <v>246</v>
      </c>
      <c r="L35" s="92" t="s">
        <v>246</v>
      </c>
      <c r="M35" s="85" t="s">
        <v>246</v>
      </c>
      <c r="N35" s="82" t="s">
        <v>246</v>
      </c>
      <c r="O35" s="86" t="s">
        <v>246</v>
      </c>
      <c r="P35" s="82" t="s">
        <v>246</v>
      </c>
      <c r="Q35" s="85" t="s">
        <v>246</v>
      </c>
      <c r="R35" s="92" t="s">
        <v>246</v>
      </c>
      <c r="S35" s="87">
        <v>983.52499214347324</v>
      </c>
      <c r="T35" s="90">
        <v>36.002465303527792</v>
      </c>
      <c r="U35" s="85" t="s">
        <v>246</v>
      </c>
      <c r="V35" s="91" t="s">
        <v>246</v>
      </c>
    </row>
    <row r="36" spans="1:22" x14ac:dyDescent="0.2">
      <c r="A36" s="18"/>
      <c r="B36" s="18" t="str">
        <f>VLOOKUP("&lt;Zeilentitel_7.2&gt;",Uebersetzungen!$B$3:$E$212,Uebersetzungen!$B$2+1,FALSE)</f>
        <v>Freie und gleichgestellte Berufe</v>
      </c>
      <c r="C36" s="81">
        <v>2772.6059416691332</v>
      </c>
      <c r="D36" s="82">
        <v>21.257825256075535</v>
      </c>
      <c r="E36" s="103">
        <v>495.90152731601171</v>
      </c>
      <c r="F36" s="99">
        <v>49.957264227178051</v>
      </c>
      <c r="G36" s="87">
        <v>824.67070614769932</v>
      </c>
      <c r="H36" s="90">
        <v>38.644183892575036</v>
      </c>
      <c r="I36" s="86" t="s">
        <v>246</v>
      </c>
      <c r="J36" s="82" t="s">
        <v>246</v>
      </c>
      <c r="K36" s="85" t="s">
        <v>246</v>
      </c>
      <c r="L36" s="92" t="s">
        <v>246</v>
      </c>
      <c r="M36" s="85" t="s">
        <v>246</v>
      </c>
      <c r="N36" s="82" t="s">
        <v>246</v>
      </c>
      <c r="O36" s="86" t="s">
        <v>246</v>
      </c>
      <c r="P36" s="82" t="s">
        <v>246</v>
      </c>
      <c r="Q36" s="85" t="s">
        <v>246</v>
      </c>
      <c r="R36" s="92" t="s">
        <v>246</v>
      </c>
      <c r="S36" s="95">
        <v>1344.5029819568349</v>
      </c>
      <c r="T36" s="90">
        <v>30.986872771661126</v>
      </c>
      <c r="U36" s="85" t="s">
        <v>246</v>
      </c>
      <c r="V36" s="91" t="s">
        <v>246</v>
      </c>
    </row>
    <row r="37" spans="1:22" x14ac:dyDescent="0.2">
      <c r="A37" s="18"/>
      <c r="B37" s="18" t="str">
        <f>VLOOKUP("&lt;Zeilentitel_7.3&gt;",Uebersetzungen!$B$3:$E$212,Uebersetzungen!$B$2+1,FALSE)</f>
        <v>Andere Selbstständige</v>
      </c>
      <c r="C37" s="81">
        <v>13585.627488911192</v>
      </c>
      <c r="D37" s="82">
        <v>9.6193425282333802</v>
      </c>
      <c r="E37" s="83">
        <v>4042.2625457578906</v>
      </c>
      <c r="F37" s="84">
        <v>17.880725108994557</v>
      </c>
      <c r="G37" s="85">
        <v>4149.778438241462</v>
      </c>
      <c r="H37" s="82">
        <v>17.835838196306117</v>
      </c>
      <c r="I37" s="86" t="s">
        <v>246</v>
      </c>
      <c r="J37" s="82" t="s">
        <v>246</v>
      </c>
      <c r="K37" s="87">
        <v>359.72345955207612</v>
      </c>
      <c r="L37" s="88">
        <v>67.005047807918814</v>
      </c>
      <c r="M37" s="85" t="s">
        <v>246</v>
      </c>
      <c r="N37" s="82" t="s">
        <v>246</v>
      </c>
      <c r="O37" s="89">
        <v>263.87104528335476</v>
      </c>
      <c r="P37" s="90">
        <v>84.787487024992387</v>
      </c>
      <c r="Q37" s="85" t="s">
        <v>246</v>
      </c>
      <c r="R37" s="92" t="s">
        <v>246</v>
      </c>
      <c r="S37" s="85">
        <v>4484.1050842009754</v>
      </c>
      <c r="T37" s="82">
        <v>17.131783307508112</v>
      </c>
      <c r="U37" s="85" t="s">
        <v>246</v>
      </c>
      <c r="V37" s="91" t="s">
        <v>246</v>
      </c>
    </row>
    <row r="38" spans="1:22" x14ac:dyDescent="0.2">
      <c r="A38" s="18"/>
      <c r="B38" s="18" t="str">
        <f>VLOOKUP("&lt;Zeilentitel_7.4&gt;",Uebersetzungen!$B$3:$E$212,Uebersetzungen!$B$2+1,FALSE)</f>
        <v>Akademische Berufe und oberes Kader</v>
      </c>
      <c r="C38" s="81">
        <v>16516.630569380333</v>
      </c>
      <c r="D38" s="82">
        <v>8.5095799786306632</v>
      </c>
      <c r="E38" s="83">
        <v>4150.8578445043249</v>
      </c>
      <c r="F38" s="84">
        <v>17.353891462573589</v>
      </c>
      <c r="G38" s="85">
        <v>5118.4917449678569</v>
      </c>
      <c r="H38" s="82">
        <v>15.881342719091389</v>
      </c>
      <c r="I38" s="86" t="s">
        <v>246</v>
      </c>
      <c r="J38" s="82" t="s">
        <v>246</v>
      </c>
      <c r="K38" s="87">
        <v>392.40471578949109</v>
      </c>
      <c r="L38" s="88">
        <v>58.435286879786879</v>
      </c>
      <c r="M38" s="85" t="s">
        <v>246</v>
      </c>
      <c r="N38" s="82" t="s">
        <v>246</v>
      </c>
      <c r="O38" s="86" t="s">
        <v>246</v>
      </c>
      <c r="P38" s="82" t="s">
        <v>246</v>
      </c>
      <c r="Q38" s="87">
        <v>205.02349145708286</v>
      </c>
      <c r="R38" s="88">
        <v>79.020065863236908</v>
      </c>
      <c r="S38" s="85">
        <v>6472.2453018217757</v>
      </c>
      <c r="T38" s="82">
        <v>14.060867143693095</v>
      </c>
      <c r="U38" s="85" t="s">
        <v>246</v>
      </c>
      <c r="V38" s="91" t="s">
        <v>246</v>
      </c>
    </row>
    <row r="39" spans="1:22" x14ac:dyDescent="0.2">
      <c r="A39" s="18"/>
      <c r="B39" s="18" t="str">
        <f>VLOOKUP("&lt;Zeilentitel_7.5&gt;",Uebersetzungen!$B$3:$E$212,Uebersetzungen!$B$2+1,FALSE)</f>
        <v>Intermediäre Berufe</v>
      </c>
      <c r="C39" s="81">
        <v>31500.389602709805</v>
      </c>
      <c r="D39" s="82">
        <v>6.0706703697586697</v>
      </c>
      <c r="E39" s="83">
        <v>7511.6166289547091</v>
      </c>
      <c r="F39" s="84">
        <v>12.925801586468854</v>
      </c>
      <c r="G39" s="85">
        <v>10842.738751825536</v>
      </c>
      <c r="H39" s="82">
        <v>11.023980875014717</v>
      </c>
      <c r="I39" s="86" t="s">
        <v>246</v>
      </c>
      <c r="J39" s="82" t="s">
        <v>246</v>
      </c>
      <c r="K39" s="95">
        <v>1251.566923201503</v>
      </c>
      <c r="L39" s="88">
        <v>34.154767565245024</v>
      </c>
      <c r="M39" s="85" t="s">
        <v>246</v>
      </c>
      <c r="N39" s="82" t="s">
        <v>246</v>
      </c>
      <c r="O39" s="89">
        <v>777.45169987635097</v>
      </c>
      <c r="P39" s="90">
        <v>46.613953128241334</v>
      </c>
      <c r="Q39" s="85" t="s">
        <v>246</v>
      </c>
      <c r="R39" s="92" t="s">
        <v>246</v>
      </c>
      <c r="S39" s="85">
        <v>10861.109805010265</v>
      </c>
      <c r="T39" s="82">
        <v>11.144060904104023</v>
      </c>
      <c r="U39" s="85" t="s">
        <v>246</v>
      </c>
      <c r="V39" s="91" t="s">
        <v>246</v>
      </c>
    </row>
    <row r="40" spans="1:22" x14ac:dyDescent="0.2">
      <c r="A40" s="18"/>
      <c r="B40" s="18" t="str">
        <f>VLOOKUP("&lt;Zeilentitel_7.6&gt;",Uebersetzungen!$B$3:$E$212,Uebersetzungen!$B$2+1,FALSE)</f>
        <v>Qualifizierte nichtmanuelle Berufe</v>
      </c>
      <c r="C40" s="81">
        <v>23605.686619492502</v>
      </c>
      <c r="D40" s="82">
        <v>7.0821137163126426</v>
      </c>
      <c r="E40" s="83">
        <v>5678.7005577354175</v>
      </c>
      <c r="F40" s="84">
        <v>15.094865452791874</v>
      </c>
      <c r="G40" s="85">
        <v>8987.9746464871077</v>
      </c>
      <c r="H40" s="82">
        <v>12.080074915723834</v>
      </c>
      <c r="I40" s="86" t="s">
        <v>246</v>
      </c>
      <c r="J40" s="82" t="s">
        <v>246</v>
      </c>
      <c r="K40" s="95">
        <v>1035.4027941385707</v>
      </c>
      <c r="L40" s="88">
        <v>35.976736507563984</v>
      </c>
      <c r="M40" s="85" t="s">
        <v>246</v>
      </c>
      <c r="N40" s="82" t="s">
        <v>246</v>
      </c>
      <c r="O40" s="89">
        <v>267.11654900376118</v>
      </c>
      <c r="P40" s="90">
        <v>73.901175894813335</v>
      </c>
      <c r="Q40" s="85" t="s">
        <v>246</v>
      </c>
      <c r="R40" s="92" t="s">
        <v>246</v>
      </c>
      <c r="S40" s="85">
        <v>7530.6231260185205</v>
      </c>
      <c r="T40" s="82">
        <v>13.160306269386121</v>
      </c>
      <c r="U40" s="85" t="s">
        <v>246</v>
      </c>
      <c r="V40" s="91" t="s">
        <v>246</v>
      </c>
    </row>
    <row r="41" spans="1:22" x14ac:dyDescent="0.2">
      <c r="A41" s="18"/>
      <c r="B41" s="18" t="str">
        <f>VLOOKUP("&lt;Zeilentitel_7.7&gt;",Uebersetzungen!$B$3:$E$212,Uebersetzungen!$B$2+1,FALSE)</f>
        <v>Qualifizierte manuelle Berufe</v>
      </c>
      <c r="C41" s="81">
        <v>9675.5097240627747</v>
      </c>
      <c r="D41" s="82">
        <v>12.183978199175275</v>
      </c>
      <c r="E41" s="83">
        <v>2008.1874867268873</v>
      </c>
      <c r="F41" s="84">
        <v>26.373287671631111</v>
      </c>
      <c r="G41" s="85">
        <v>3719.8729107989489</v>
      </c>
      <c r="H41" s="82">
        <v>19.811369127447918</v>
      </c>
      <c r="I41" s="86" t="s">
        <v>246</v>
      </c>
      <c r="J41" s="82" t="s">
        <v>246</v>
      </c>
      <c r="K41" s="87">
        <v>272.8992417262574</v>
      </c>
      <c r="L41" s="88">
        <v>80.757503764124351</v>
      </c>
      <c r="M41" s="85" t="s">
        <v>246</v>
      </c>
      <c r="N41" s="82" t="s">
        <v>246</v>
      </c>
      <c r="O41" s="89">
        <v>412.79456113266434</v>
      </c>
      <c r="P41" s="90">
        <v>58.856584748067341</v>
      </c>
      <c r="Q41" s="85" t="s">
        <v>246</v>
      </c>
      <c r="R41" s="92" t="s">
        <v>246</v>
      </c>
      <c r="S41" s="85">
        <v>3053.7127899612092</v>
      </c>
      <c r="T41" s="82">
        <v>22.590404900330963</v>
      </c>
      <c r="U41" s="85" t="s">
        <v>246</v>
      </c>
      <c r="V41" s="91" t="s">
        <v>246</v>
      </c>
    </row>
    <row r="42" spans="1:22" x14ac:dyDescent="0.2">
      <c r="A42" s="18"/>
      <c r="B42" s="18" t="str">
        <f>VLOOKUP("&lt;Zeilentitel_7.8&gt;",Uebersetzungen!$B$3:$E$212,Uebersetzungen!$B$2+1,FALSE)</f>
        <v>Ungelernte Angestellte und Arbeiter/innen</v>
      </c>
      <c r="C42" s="81">
        <v>5853.1832767080723</v>
      </c>
      <c r="D42" s="82">
        <v>16.140312244326331</v>
      </c>
      <c r="E42" s="103">
        <v>463.62771070713364</v>
      </c>
      <c r="F42" s="99">
        <v>56.756800916921215</v>
      </c>
      <c r="G42" s="85">
        <v>3367.9945114344068</v>
      </c>
      <c r="H42" s="82">
        <v>21.356665732655678</v>
      </c>
      <c r="I42" s="86" t="s">
        <v>246</v>
      </c>
      <c r="J42" s="82" t="s">
        <v>246</v>
      </c>
      <c r="K42" s="87">
        <v>332.0390068962663</v>
      </c>
      <c r="L42" s="88">
        <v>69.663969677665946</v>
      </c>
      <c r="M42" s="85" t="s">
        <v>246</v>
      </c>
      <c r="N42" s="82" t="s">
        <v>246</v>
      </c>
      <c r="O42" s="89">
        <v>307.14135825603336</v>
      </c>
      <c r="P42" s="90">
        <v>74.67877400968591</v>
      </c>
      <c r="Q42" s="85" t="s">
        <v>246</v>
      </c>
      <c r="R42" s="92" t="s">
        <v>246</v>
      </c>
      <c r="S42" s="95">
        <v>1151.0543719654634</v>
      </c>
      <c r="T42" s="90">
        <v>36.361675448211841</v>
      </c>
      <c r="U42" s="85" t="s">
        <v>246</v>
      </c>
      <c r="V42" s="91" t="s">
        <v>246</v>
      </c>
    </row>
    <row r="43" spans="1:22" ht="14.25" customHeight="1" x14ac:dyDescent="0.2">
      <c r="A43" s="18"/>
      <c r="B43" s="18" t="str">
        <f>VLOOKUP("&lt;Zeilentitel_7.9&gt;",Uebersetzungen!$B$3:$E$212,Uebersetzungen!$B$2+1,FALSE)</f>
        <v>Lernende in dualer beruflicher Grundbildung (Lehrlinge)</v>
      </c>
      <c r="C43" s="81">
        <v>2635.7418494780118</v>
      </c>
      <c r="D43" s="82">
        <v>22.72247569772259</v>
      </c>
      <c r="E43" s="103">
        <v>790.82725812626984</v>
      </c>
      <c r="F43" s="99">
        <v>40.313233509392376</v>
      </c>
      <c r="G43" s="95">
        <v>1063.9281463288978</v>
      </c>
      <c r="H43" s="90">
        <v>36.212686538778442</v>
      </c>
      <c r="I43" s="86" t="s">
        <v>246</v>
      </c>
      <c r="J43" s="82" t="s">
        <v>246</v>
      </c>
      <c r="K43" s="85" t="s">
        <v>246</v>
      </c>
      <c r="L43" s="92" t="s">
        <v>246</v>
      </c>
      <c r="M43" s="85" t="s">
        <v>246</v>
      </c>
      <c r="N43" s="82" t="s">
        <v>246</v>
      </c>
      <c r="O43" s="86" t="s">
        <v>246</v>
      </c>
      <c r="P43" s="82" t="s">
        <v>246</v>
      </c>
      <c r="Q43" s="85" t="s">
        <v>246</v>
      </c>
      <c r="R43" s="92" t="s">
        <v>246</v>
      </c>
      <c r="S43" s="87">
        <v>610.39096540395201</v>
      </c>
      <c r="T43" s="90">
        <v>49.263776368934003</v>
      </c>
      <c r="U43" s="85" t="s">
        <v>246</v>
      </c>
      <c r="V43" s="91" t="s">
        <v>246</v>
      </c>
    </row>
    <row r="44" spans="1:22" ht="25.5" x14ac:dyDescent="0.2">
      <c r="A44" s="18"/>
      <c r="B44" s="18" t="str">
        <f>VLOOKUP("&lt;Zeilentitel_7.10&gt;",Uebersetzungen!$B$3:$E$212,Uebersetzungen!$B$2+1,FALSE)</f>
        <v>Nicht zuteilbare Erwerbstätige (fehlende oder unklare Basisdaten)</v>
      </c>
      <c r="C44" s="101">
        <v>1453.1300693931603</v>
      </c>
      <c r="D44" s="90">
        <v>31.192680984634492</v>
      </c>
      <c r="E44" s="103">
        <v>322.07468530266033</v>
      </c>
      <c r="F44" s="99">
        <v>64.549915812734724</v>
      </c>
      <c r="G44" s="87">
        <v>449.68971128007064</v>
      </c>
      <c r="H44" s="90">
        <v>56.19193222228126</v>
      </c>
      <c r="I44" s="86" t="s">
        <v>246</v>
      </c>
      <c r="J44" s="82" t="s">
        <v>246</v>
      </c>
      <c r="K44" s="85" t="s">
        <v>246</v>
      </c>
      <c r="L44" s="92" t="s">
        <v>246</v>
      </c>
      <c r="M44" s="85" t="s">
        <v>246</v>
      </c>
      <c r="N44" s="82" t="s">
        <v>246</v>
      </c>
      <c r="O44" s="86" t="s">
        <v>246</v>
      </c>
      <c r="P44" s="82" t="s">
        <v>246</v>
      </c>
      <c r="Q44" s="85" t="s">
        <v>246</v>
      </c>
      <c r="R44" s="92" t="s">
        <v>246</v>
      </c>
      <c r="S44" s="87">
        <v>476.29044463036456</v>
      </c>
      <c r="T44" s="90">
        <v>54.426600326287449</v>
      </c>
      <c r="U44" s="85" t="s">
        <v>246</v>
      </c>
      <c r="V44" s="91" t="s">
        <v>246</v>
      </c>
    </row>
    <row r="45" spans="1:22" x14ac:dyDescent="0.2">
      <c r="A45" s="19"/>
      <c r="B45" s="19" t="str">
        <f>VLOOKUP("&lt;Zeilentitel_7.11&gt;",Uebersetzungen!$B$3:$E$212,Uebersetzungen!$B$2+1,FALSE)</f>
        <v>Erwerbslose und Nichterwerbspersonen</v>
      </c>
      <c r="C45" s="81">
        <v>65786.672976606613</v>
      </c>
      <c r="D45" s="82">
        <v>3.5246268704900259</v>
      </c>
      <c r="E45" s="83">
        <v>20129.178559333832</v>
      </c>
      <c r="F45" s="84">
        <v>7.4548999094054214</v>
      </c>
      <c r="G45" s="85">
        <v>23851.644708501324</v>
      </c>
      <c r="H45" s="82">
        <v>6.8491559903952055</v>
      </c>
      <c r="I45" s="86" t="s">
        <v>246</v>
      </c>
      <c r="J45" s="82" t="s">
        <v>246</v>
      </c>
      <c r="K45" s="85">
        <v>2869.737301218961</v>
      </c>
      <c r="L45" s="92">
        <v>22.16129497153231</v>
      </c>
      <c r="M45" s="85" t="s">
        <v>246</v>
      </c>
      <c r="N45" s="82" t="s">
        <v>246</v>
      </c>
      <c r="O45" s="93">
        <v>1351.6286890225431</v>
      </c>
      <c r="P45" s="90">
        <v>35.86679003118585</v>
      </c>
      <c r="Q45" s="87">
        <v>617.36386842795957</v>
      </c>
      <c r="R45" s="88">
        <v>47.067694161400482</v>
      </c>
      <c r="S45" s="85">
        <v>16339.822035772677</v>
      </c>
      <c r="T45" s="82">
        <v>8.6222795093725946</v>
      </c>
      <c r="U45" s="87">
        <v>559.05304661152331</v>
      </c>
      <c r="V45" s="94">
        <v>46.860690564620789</v>
      </c>
    </row>
    <row r="46" spans="1:22" ht="13.5" customHeight="1" x14ac:dyDescent="0.2">
      <c r="A46" s="20" t="str">
        <f>VLOOKUP("&lt;Zeilentitel_8&gt;",Uebersetzungen!$B$3:$E$212,Uebersetzungen!$B$2+1,FALSE)</f>
        <v>Höchste abgeschlossene Ausbildung</v>
      </c>
      <c r="B46" s="20" t="str">
        <f>VLOOKUP("&lt;Zeilentitel_8.1&gt;",Uebersetzungen!$B$3:$E$212,Uebersetzungen!$B$2+1,FALSE)</f>
        <v>Ohne nachobligatorische Ausbildung</v>
      </c>
      <c r="C46" s="59">
        <v>32938.137101366105</v>
      </c>
      <c r="D46" s="60">
        <v>5.9139819080388394</v>
      </c>
      <c r="E46" s="61">
        <v>6682.9698877291339</v>
      </c>
      <c r="F46" s="62">
        <v>13.575891090225642</v>
      </c>
      <c r="G46" s="63">
        <v>15228.954062782415</v>
      </c>
      <c r="H46" s="60">
        <v>9.1529260854412566</v>
      </c>
      <c r="I46" s="64" t="s">
        <v>246</v>
      </c>
      <c r="J46" s="60" t="s">
        <v>246</v>
      </c>
      <c r="K46" s="63">
        <v>1962.0046717795369</v>
      </c>
      <c r="L46" s="65">
        <v>27.175572380768706</v>
      </c>
      <c r="M46" s="63" t="s">
        <v>246</v>
      </c>
      <c r="N46" s="60" t="s">
        <v>246</v>
      </c>
      <c r="O46" s="96">
        <v>1643.4678403793457</v>
      </c>
      <c r="P46" s="97">
        <v>32.589141180206674</v>
      </c>
      <c r="Q46" s="66">
        <v>418.6355321217423</v>
      </c>
      <c r="R46" s="67">
        <v>58.972490988966129</v>
      </c>
      <c r="S46" s="63">
        <v>6590.9837862455042</v>
      </c>
      <c r="T46" s="60">
        <v>14.482917281941402</v>
      </c>
      <c r="U46" s="66">
        <v>411.12132032842436</v>
      </c>
      <c r="V46" s="68">
        <v>59.262421823629232</v>
      </c>
    </row>
    <row r="47" spans="1:22" x14ac:dyDescent="0.2">
      <c r="A47" s="21"/>
      <c r="B47" s="21" t="str">
        <f>VLOOKUP("&lt;Zeilentitel_8.2&gt;",Uebersetzungen!$B$3:$E$212,Uebersetzungen!$B$2+1,FALSE)</f>
        <v>Sekundarstufe II</v>
      </c>
      <c r="C47" s="81">
        <v>81217.846845221909</v>
      </c>
      <c r="D47" s="82">
        <v>3.0408354358789169</v>
      </c>
      <c r="E47" s="83">
        <v>22483.728295832643</v>
      </c>
      <c r="F47" s="84">
        <v>7.1283536484128289</v>
      </c>
      <c r="G47" s="85">
        <v>29732.200849519148</v>
      </c>
      <c r="H47" s="82">
        <v>6.1814346284194395</v>
      </c>
      <c r="I47" s="86" t="s">
        <v>246</v>
      </c>
      <c r="J47" s="82" t="s">
        <v>246</v>
      </c>
      <c r="K47" s="85">
        <v>3180.4297385594168</v>
      </c>
      <c r="L47" s="92">
        <v>21.47044021199914</v>
      </c>
      <c r="M47" s="85" t="s">
        <v>246</v>
      </c>
      <c r="N47" s="82" t="s">
        <v>246</v>
      </c>
      <c r="O47" s="93">
        <v>1367.8668465419657</v>
      </c>
      <c r="P47" s="90">
        <v>33.709560041604107</v>
      </c>
      <c r="Q47" s="87">
        <v>454.06612019163202</v>
      </c>
      <c r="R47" s="88">
        <v>56.170584488493979</v>
      </c>
      <c r="S47" s="85">
        <v>23465.767599901552</v>
      </c>
      <c r="T47" s="82">
        <v>7.201501582005732</v>
      </c>
      <c r="U47" s="87">
        <v>465.54262695775492</v>
      </c>
      <c r="V47" s="94">
        <v>53.636786180234651</v>
      </c>
    </row>
    <row r="48" spans="1:22" ht="13.5" thickBot="1" x14ac:dyDescent="0.25">
      <c r="A48" s="23"/>
      <c r="B48" s="23" t="str">
        <f>VLOOKUP("&lt;Zeilentitel_8.3&gt;",Uebersetzungen!$B$3:$E$212,Uebersetzungen!$B$2+1,FALSE)</f>
        <v>Tertiärstufe</v>
      </c>
      <c r="C48" s="104">
        <v>61821.016053407599</v>
      </c>
      <c r="D48" s="105">
        <v>3.7375170185912521</v>
      </c>
      <c r="E48" s="106">
        <v>17012.939224410075</v>
      </c>
      <c r="F48" s="107">
        <v>8.2676165297477642</v>
      </c>
      <c r="G48" s="108">
        <v>18216.332264392924</v>
      </c>
      <c r="H48" s="105">
        <v>8.0988364747694117</v>
      </c>
      <c r="I48" s="109" t="s">
        <v>246</v>
      </c>
      <c r="J48" s="105" t="s">
        <v>246</v>
      </c>
      <c r="K48" s="108">
        <v>1819.5383919922806</v>
      </c>
      <c r="L48" s="110">
        <v>27.379115328682488</v>
      </c>
      <c r="M48" s="108" t="s">
        <v>246</v>
      </c>
      <c r="N48" s="105" t="s">
        <v>246</v>
      </c>
      <c r="O48" s="111">
        <v>750.42629944199518</v>
      </c>
      <c r="P48" s="112">
        <v>46.424945673163265</v>
      </c>
      <c r="Q48" s="113">
        <v>451.92856713866109</v>
      </c>
      <c r="R48" s="114">
        <v>53.691067347227531</v>
      </c>
      <c r="S48" s="108">
        <v>23250.630512738458</v>
      </c>
      <c r="T48" s="105">
        <v>7.098214698770577</v>
      </c>
      <c r="U48" s="113">
        <v>286.07745380318602</v>
      </c>
      <c r="V48" s="115">
        <v>69.342308276038267</v>
      </c>
    </row>
    <row r="49" spans="1:14" x14ac:dyDescent="0.2">
      <c r="A49" s="17"/>
      <c r="B49" s="10"/>
      <c r="C49" s="9"/>
      <c r="D49" s="11"/>
      <c r="E49" s="12"/>
      <c r="F49" s="13"/>
      <c r="G49" s="14"/>
      <c r="H49" s="13"/>
      <c r="I49" s="14"/>
      <c r="J49" s="13"/>
      <c r="K49" s="14"/>
      <c r="L49" s="14"/>
      <c r="M49" s="13"/>
      <c r="N49" s="14"/>
    </row>
    <row r="50" spans="1:14" x14ac:dyDescent="0.2">
      <c r="A50" s="15" t="str">
        <f>VLOOKUP("&lt;Legende_1&gt;",Uebersetzungen!$B$3:$E$212,Uebersetzungen!$B$2+1,FALSE)</f>
        <v>(): Extrapolation aufgrund von 49 oder weniger Beobachtungen. Die Resultate sind mit grosser Vorsicht zu interpretieren.</v>
      </c>
    </row>
    <row r="51" spans="1:14" x14ac:dyDescent="0.2">
      <c r="A51" s="15" t="str">
        <f>VLOOKUP("&lt;Legende_2&gt;",Uebersetzungen!$B$3:$E$212,Uebersetzungen!$B$2+1,FALSE)</f>
        <v>X: Extrapolation aufgrund von 4 oder weniger Beobachtungen. Die Resultate werden aus Gründen des Datenschutzes nicht publiziert.</v>
      </c>
    </row>
    <row r="52" spans="1:14" x14ac:dyDescent="0.2">
      <c r="A52" s="15" t="str">
        <f>VLOOKUP("&lt;Legende_3&gt;",Uebersetzungen!$B$3:$E$212,Uebersetzungen!$B$2+1,FALSE)</f>
        <v>Die Grundgesamtheit der Strukturerhebung enthält alle Personen der ständigen Wohnbevölkerung ab vollendetem 15. Altersjahr, die in Privathaushalten leben.</v>
      </c>
    </row>
    <row r="53" spans="1:14" x14ac:dyDescent="0.2">
      <c r="A53" s="15" t="str">
        <f>VLOOKUP("&lt;Legende_4&gt;",Uebersetzungen!$B$3:$E$212,Uebersetzungen!$B$2+1,FALSE)</f>
        <v>Aus der Grundgesamtheit ausgeschlossen wurden neben den Personen, die in Kollektivhaushalten leben, auch Diplomaten, internationale Funktionäre und deren Angehörige.</v>
      </c>
    </row>
    <row r="54" spans="1:14" x14ac:dyDescent="0.2">
      <c r="A54" s="15" t="str">
        <f>VLOOKUP("&lt;Legende_5&gt;",Uebersetzungen!$B$3:$E$212,Uebersetzungen!$B$2+1,FALSE)</f>
        <v>* inkl. andere aus dem Islam hervorgegangene Gemeinschaften</v>
      </c>
    </row>
    <row r="56" spans="1:14" x14ac:dyDescent="0.2">
      <c r="A56" s="1" t="str">
        <f>VLOOKUP("&lt;quelle_1&gt;",Uebersetzungen!$B$3:$E$212,Uebersetzungen!$B$2+1,FALSE)</f>
        <v>Quelle: BFS (Strukturerhebung)</v>
      </c>
    </row>
    <row r="57" spans="1:14" x14ac:dyDescent="0.2">
      <c r="A57" s="1" t="str">
        <f>VLOOKUP("&lt;aktualisierung&gt;",Uebersetzungen!$B$3:$E$212,Uebersetzungen!$B$2+1,FALSE)</f>
        <v>Letztmals aktualisiert am: 29.01.2026</v>
      </c>
    </row>
  </sheetData>
  <sheetProtection sheet="1" objects="1" scenarios="1"/>
  <mergeCells count="13">
    <mergeCell ref="U13:V13"/>
    <mergeCell ref="A15:B15"/>
    <mergeCell ref="Q13:R13"/>
    <mergeCell ref="S13:T13"/>
    <mergeCell ref="A7:B7"/>
    <mergeCell ref="K13:L13"/>
    <mergeCell ref="M13:N13"/>
    <mergeCell ref="O13:P13"/>
    <mergeCell ref="C13:D13"/>
    <mergeCell ref="E13:F13"/>
    <mergeCell ref="G13:H13"/>
    <mergeCell ref="I13:J13"/>
    <mergeCell ref="C12:V12"/>
  </mergeCells>
  <pageMargins left="0.7" right="0.7" top="0.78740157499999996" bottom="0.78740157499999996" header="0.3" footer="0.3"/>
  <pageSetup paperSize="9" orientation="portrait" r:id="rId1"/>
  <ignoredErrors>
    <ignoredError sqref="D14:G14 H14:I14 J14:K14 L14:N14 O14:R14 T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600075</xdr:colOff>
                    <xdr:row>1</xdr:row>
                    <xdr:rowOff>104775</xdr:rowOff>
                  </from>
                  <to>
                    <xdr:col>5</xdr:col>
                    <xdr:colOff>228600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600075</xdr:colOff>
                    <xdr:row>2</xdr:row>
                    <xdr:rowOff>95250</xdr:rowOff>
                  </from>
                  <to>
                    <xdr:col>5</xdr:col>
                    <xdr:colOff>600075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600075</xdr:colOff>
                    <xdr:row>3</xdr:row>
                    <xdr:rowOff>57150</xdr:rowOff>
                  </from>
                  <to>
                    <xdr:col>5</xdr:col>
                    <xdr:colOff>228600</xdr:colOff>
                    <xdr:row>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7"/>
  <sheetViews>
    <sheetView topLeftCell="A34" workbookViewId="0">
      <selection activeCell="G71" sqref="G71"/>
    </sheetView>
  </sheetViews>
  <sheetFormatPr baseColWidth="10" defaultColWidth="12.5703125" defaultRowHeight="12.75" x14ac:dyDescent="0.2"/>
  <cols>
    <col min="1" max="1" width="8.5703125" style="31" bestFit="1" customWidth="1"/>
    <col min="2" max="2" width="16.7109375" style="31" bestFit="1" customWidth="1"/>
    <col min="3" max="3" width="52.85546875" style="39" bestFit="1" customWidth="1"/>
    <col min="4" max="4" width="55.85546875" style="39" bestFit="1" customWidth="1"/>
    <col min="5" max="5" width="53.42578125" style="39" customWidth="1"/>
    <col min="6" max="6" width="22.42578125" style="31" customWidth="1"/>
    <col min="7" max="8" width="12.5703125" style="31"/>
    <col min="9" max="9" width="37.7109375" style="31" customWidth="1"/>
    <col min="10" max="16384" width="12.5703125" style="31"/>
  </cols>
  <sheetData>
    <row r="1" spans="1:6" x14ac:dyDescent="0.2">
      <c r="A1" s="28" t="s">
        <v>54</v>
      </c>
      <c r="B1" s="28" t="s">
        <v>55</v>
      </c>
      <c r="C1" s="29" t="s">
        <v>56</v>
      </c>
      <c r="D1" s="29" t="s">
        <v>57</v>
      </c>
      <c r="E1" s="29" t="s">
        <v>58</v>
      </c>
      <c r="F1" s="30"/>
    </row>
    <row r="2" spans="1:6" ht="12.75" customHeight="1" x14ac:dyDescent="0.2">
      <c r="A2" s="32" t="s">
        <v>59</v>
      </c>
      <c r="B2" s="33">
        <v>1</v>
      </c>
      <c r="C2" s="34"/>
      <c r="D2" s="34"/>
      <c r="E2" s="34"/>
      <c r="F2" s="30"/>
    </row>
    <row r="3" spans="1:6" ht="12.75" customHeight="1" x14ac:dyDescent="0.2">
      <c r="A3" s="32"/>
      <c r="B3" s="35" t="s">
        <v>60</v>
      </c>
      <c r="C3" s="36" t="s">
        <v>61</v>
      </c>
      <c r="D3" s="36" t="s">
        <v>62</v>
      </c>
      <c r="E3" s="36" t="s">
        <v>63</v>
      </c>
      <c r="F3" s="30"/>
    </row>
    <row r="4" spans="1:6" ht="12.75" customHeight="1" x14ac:dyDescent="0.2">
      <c r="A4" s="32" t="s">
        <v>64</v>
      </c>
      <c r="B4" s="35" t="s">
        <v>65</v>
      </c>
      <c r="C4" s="37" t="s">
        <v>233</v>
      </c>
      <c r="D4" s="36" t="s">
        <v>234</v>
      </c>
      <c r="E4" s="36" t="s">
        <v>235</v>
      </c>
      <c r="F4" s="30"/>
    </row>
    <row r="5" spans="1:6" ht="12.75" customHeight="1" x14ac:dyDescent="0.2">
      <c r="A5" s="32"/>
      <c r="B5" s="35" t="s">
        <v>66</v>
      </c>
      <c r="C5" s="36" t="s">
        <v>247</v>
      </c>
      <c r="D5" s="36" t="s">
        <v>248</v>
      </c>
      <c r="E5" s="36" t="s">
        <v>249</v>
      </c>
      <c r="F5" s="30"/>
    </row>
    <row r="6" spans="1:6" ht="12.75" customHeight="1" x14ac:dyDescent="0.2">
      <c r="A6" s="32"/>
      <c r="B6" s="32"/>
      <c r="C6" s="32"/>
      <c r="D6" s="32"/>
      <c r="E6" s="32"/>
      <c r="F6" s="30"/>
    </row>
    <row r="7" spans="1:6" ht="12.75" customHeight="1" x14ac:dyDescent="0.2">
      <c r="A7" s="32" t="s">
        <v>67</v>
      </c>
      <c r="B7" s="35" t="s">
        <v>68</v>
      </c>
      <c r="C7" s="36" t="s">
        <v>0</v>
      </c>
      <c r="D7" s="36" t="s">
        <v>0</v>
      </c>
      <c r="E7" s="36" t="s">
        <v>69</v>
      </c>
      <c r="F7" s="30"/>
    </row>
    <row r="8" spans="1:6" ht="12.75" customHeight="1" x14ac:dyDescent="0.2">
      <c r="A8" s="32"/>
      <c r="B8" s="35" t="s">
        <v>70</v>
      </c>
      <c r="C8" s="36" t="s">
        <v>41</v>
      </c>
      <c r="D8" s="36" t="s">
        <v>71</v>
      </c>
      <c r="E8" s="36" t="s">
        <v>72</v>
      </c>
      <c r="F8" s="30"/>
    </row>
    <row r="9" spans="1:6" ht="12.75" customHeight="1" x14ac:dyDescent="0.2">
      <c r="A9" s="32"/>
      <c r="B9" s="35" t="s">
        <v>73</v>
      </c>
      <c r="C9" s="36" t="s">
        <v>40</v>
      </c>
      <c r="D9" s="36" t="s">
        <v>74</v>
      </c>
      <c r="E9" s="36" t="s">
        <v>75</v>
      </c>
      <c r="F9" s="30"/>
    </row>
    <row r="10" spans="1:6" ht="12.75" customHeight="1" x14ac:dyDescent="0.2">
      <c r="A10" s="32"/>
      <c r="B10" s="35" t="s">
        <v>76</v>
      </c>
      <c r="C10" s="36" t="s">
        <v>43</v>
      </c>
      <c r="D10" s="36" t="s">
        <v>222</v>
      </c>
      <c r="E10" s="36" t="s">
        <v>220</v>
      </c>
      <c r="F10" s="30"/>
    </row>
    <row r="11" spans="1:6" ht="12.75" customHeight="1" x14ac:dyDescent="0.2">
      <c r="A11" s="32"/>
      <c r="B11" s="35" t="s">
        <v>79</v>
      </c>
      <c r="C11" s="36" t="s">
        <v>42</v>
      </c>
      <c r="D11" s="36" t="s">
        <v>77</v>
      </c>
      <c r="E11" s="36" t="s">
        <v>78</v>
      </c>
      <c r="F11" s="30"/>
    </row>
    <row r="12" spans="1:6" ht="12.75" customHeight="1" x14ac:dyDescent="0.2">
      <c r="A12" s="32"/>
      <c r="B12" s="35" t="s">
        <v>82</v>
      </c>
      <c r="C12" s="36" t="s">
        <v>44</v>
      </c>
      <c r="D12" s="36" t="s">
        <v>80</v>
      </c>
      <c r="E12" s="36" t="s">
        <v>81</v>
      </c>
      <c r="F12" s="30"/>
    </row>
    <row r="13" spans="1:6" ht="12.75" customHeight="1" x14ac:dyDescent="0.2">
      <c r="A13" s="32"/>
      <c r="B13" s="35" t="s">
        <v>83</v>
      </c>
      <c r="C13" s="36" t="s">
        <v>242</v>
      </c>
      <c r="D13" s="36" t="s">
        <v>240</v>
      </c>
      <c r="E13" s="36" t="s">
        <v>241</v>
      </c>
      <c r="F13" s="30"/>
    </row>
    <row r="14" spans="1:6" ht="12.75" customHeight="1" x14ac:dyDescent="0.2">
      <c r="A14" s="32"/>
      <c r="B14" s="35" t="s">
        <v>86</v>
      </c>
      <c r="C14" s="36" t="s">
        <v>45</v>
      </c>
      <c r="D14" s="36" t="s">
        <v>84</v>
      </c>
      <c r="E14" s="36" t="s">
        <v>85</v>
      </c>
      <c r="F14" s="30"/>
    </row>
    <row r="15" spans="1:6" ht="12.75" customHeight="1" x14ac:dyDescent="0.2">
      <c r="A15" s="32"/>
      <c r="B15" s="35" t="s">
        <v>88</v>
      </c>
      <c r="C15" s="36" t="s">
        <v>46</v>
      </c>
      <c r="D15" s="36" t="s">
        <v>87</v>
      </c>
      <c r="E15" s="36" t="s">
        <v>221</v>
      </c>
      <c r="F15" s="30"/>
    </row>
    <row r="16" spans="1:6" ht="12.75" customHeight="1" x14ac:dyDescent="0.2">
      <c r="A16" s="32"/>
      <c r="B16" s="35" t="s">
        <v>118</v>
      </c>
      <c r="C16" s="36" t="s">
        <v>47</v>
      </c>
      <c r="D16" s="36" t="s">
        <v>89</v>
      </c>
      <c r="E16" s="36" t="s">
        <v>90</v>
      </c>
      <c r="F16" s="30"/>
    </row>
    <row r="17" spans="1:6" ht="12.75" customHeight="1" x14ac:dyDescent="0.2">
      <c r="A17" s="32"/>
      <c r="B17" s="32"/>
      <c r="C17" s="32"/>
      <c r="D17" s="32"/>
      <c r="E17" s="32"/>
      <c r="F17" s="30"/>
    </row>
    <row r="18" spans="1:6" ht="12.75" customHeight="1" x14ac:dyDescent="0.2">
      <c r="A18" s="32"/>
      <c r="B18" s="35" t="s">
        <v>116</v>
      </c>
      <c r="C18" s="36" t="s">
        <v>91</v>
      </c>
      <c r="D18" s="36" t="s">
        <v>92</v>
      </c>
      <c r="E18" s="36" t="s">
        <v>93</v>
      </c>
      <c r="F18" s="30"/>
    </row>
    <row r="19" spans="1:6" ht="12.75" customHeight="1" x14ac:dyDescent="0.2">
      <c r="A19" s="32"/>
      <c r="B19" s="35" t="s">
        <v>117</v>
      </c>
      <c r="C19" s="36" t="s">
        <v>94</v>
      </c>
      <c r="D19" s="36" t="s">
        <v>95</v>
      </c>
      <c r="E19" s="36" t="s">
        <v>96</v>
      </c>
      <c r="F19" s="30"/>
    </row>
    <row r="20" spans="1:6" ht="12.75" customHeight="1" x14ac:dyDescent="0.2">
      <c r="A20" s="32"/>
      <c r="B20" s="30"/>
      <c r="C20" s="38"/>
      <c r="D20" s="38"/>
      <c r="E20" s="38"/>
      <c r="F20" s="30"/>
    </row>
    <row r="21" spans="1:6" ht="12.75" customHeight="1" x14ac:dyDescent="0.2">
      <c r="A21" s="32" t="s">
        <v>64</v>
      </c>
      <c r="B21" s="31" t="s">
        <v>97</v>
      </c>
      <c r="C21" s="39" t="s">
        <v>0</v>
      </c>
      <c r="D21" s="39" t="s">
        <v>0</v>
      </c>
      <c r="E21" s="39" t="s">
        <v>69</v>
      </c>
      <c r="F21" s="30"/>
    </row>
    <row r="22" spans="1:6" ht="12.75" customHeight="1" x14ac:dyDescent="0.2">
      <c r="A22" s="30"/>
      <c r="B22" s="31" t="s">
        <v>98</v>
      </c>
      <c r="C22" s="39" t="s">
        <v>1</v>
      </c>
      <c r="D22" s="39" t="s">
        <v>131</v>
      </c>
      <c r="E22" s="39" t="s">
        <v>124</v>
      </c>
      <c r="F22" s="30"/>
    </row>
    <row r="23" spans="1:6" ht="12.75" customHeight="1" x14ac:dyDescent="0.2">
      <c r="A23" s="30"/>
      <c r="B23" s="31" t="s">
        <v>99</v>
      </c>
      <c r="C23" s="39" t="s">
        <v>4</v>
      </c>
      <c r="D23" s="39" t="s">
        <v>132</v>
      </c>
      <c r="E23" s="39" t="s">
        <v>125</v>
      </c>
      <c r="F23" s="30"/>
    </row>
    <row r="24" spans="1:6" ht="12.75" customHeight="1" x14ac:dyDescent="0.2">
      <c r="A24" s="30"/>
      <c r="B24" s="31" t="s">
        <v>100</v>
      </c>
      <c r="C24" s="39" t="s">
        <v>9</v>
      </c>
      <c r="D24" s="39" t="s">
        <v>133</v>
      </c>
      <c r="E24" s="39" t="s">
        <v>126</v>
      </c>
      <c r="F24" s="30"/>
    </row>
    <row r="25" spans="1:6" ht="12.75" customHeight="1" x14ac:dyDescent="0.2">
      <c r="A25" s="30"/>
      <c r="B25" s="31" t="s">
        <v>101</v>
      </c>
      <c r="C25" s="39" t="s">
        <v>13</v>
      </c>
      <c r="D25" s="39" t="s">
        <v>134</v>
      </c>
      <c r="E25" s="39" t="s">
        <v>127</v>
      </c>
      <c r="F25" s="30"/>
    </row>
    <row r="26" spans="1:6" ht="12.75" customHeight="1" x14ac:dyDescent="0.2">
      <c r="A26" s="30"/>
      <c r="B26" s="31" t="s">
        <v>102</v>
      </c>
      <c r="C26" s="39" t="s">
        <v>19</v>
      </c>
      <c r="D26" s="39" t="s">
        <v>135</v>
      </c>
      <c r="E26" s="39" t="s">
        <v>128</v>
      </c>
      <c r="F26" s="30"/>
    </row>
    <row r="27" spans="1:6" ht="12.75" customHeight="1" x14ac:dyDescent="0.2">
      <c r="A27" s="30"/>
      <c r="B27" s="31" t="s">
        <v>103</v>
      </c>
      <c r="C27" s="39" t="s">
        <v>49</v>
      </c>
      <c r="D27" s="39" t="s">
        <v>130</v>
      </c>
      <c r="E27" s="39" t="s">
        <v>129</v>
      </c>
      <c r="F27" s="30"/>
    </row>
    <row r="28" spans="1:6" ht="12.75" customHeight="1" x14ac:dyDescent="0.2">
      <c r="A28" s="30"/>
      <c r="B28" s="31" t="s">
        <v>104</v>
      </c>
      <c r="C28" s="39" t="s">
        <v>52</v>
      </c>
      <c r="D28" s="39" t="s">
        <v>137</v>
      </c>
      <c r="E28" s="39" t="s">
        <v>136</v>
      </c>
      <c r="F28" s="30"/>
    </row>
    <row r="29" spans="1:6" ht="12.75" customHeight="1" x14ac:dyDescent="0.2">
      <c r="A29" s="30"/>
      <c r="B29" s="30"/>
      <c r="C29" s="30"/>
      <c r="D29" s="30"/>
      <c r="E29" s="30"/>
      <c r="F29" s="30"/>
    </row>
    <row r="30" spans="1:6" ht="12.75" customHeight="1" x14ac:dyDescent="0.2">
      <c r="A30" s="30"/>
      <c r="B30" s="31" t="s">
        <v>138</v>
      </c>
      <c r="C30" s="39" t="s">
        <v>2</v>
      </c>
      <c r="D30" s="39" t="s">
        <v>223</v>
      </c>
      <c r="E30" s="39" t="s">
        <v>190</v>
      </c>
      <c r="F30" s="30"/>
    </row>
    <row r="31" spans="1:6" ht="12.75" customHeight="1" x14ac:dyDescent="0.2">
      <c r="A31" s="30"/>
      <c r="B31" s="31" t="s">
        <v>139</v>
      </c>
      <c r="C31" s="39" t="s">
        <v>3</v>
      </c>
      <c r="D31" s="39" t="s">
        <v>224</v>
      </c>
      <c r="E31" s="39" t="s">
        <v>191</v>
      </c>
      <c r="F31" s="30"/>
    </row>
    <row r="32" spans="1:6" x14ac:dyDescent="0.2">
      <c r="A32" s="30"/>
      <c r="B32" s="31" t="s">
        <v>140</v>
      </c>
      <c r="C32" s="39" t="s">
        <v>5</v>
      </c>
      <c r="D32" s="39" t="s">
        <v>5</v>
      </c>
      <c r="E32" s="39" t="s">
        <v>5</v>
      </c>
      <c r="F32" s="30"/>
    </row>
    <row r="33" spans="1:6" x14ac:dyDescent="0.2">
      <c r="A33" s="30"/>
      <c r="B33" s="31" t="s">
        <v>141</v>
      </c>
      <c r="C33" s="39" t="s">
        <v>6</v>
      </c>
      <c r="D33" s="39" t="s">
        <v>6</v>
      </c>
      <c r="E33" s="39" t="s">
        <v>6</v>
      </c>
      <c r="F33" s="30"/>
    </row>
    <row r="34" spans="1:6" x14ac:dyDescent="0.2">
      <c r="A34" s="30"/>
      <c r="B34" s="31" t="s">
        <v>142</v>
      </c>
      <c r="C34" s="39" t="s">
        <v>7</v>
      </c>
      <c r="D34" s="39" t="s">
        <v>7</v>
      </c>
      <c r="E34" s="39" t="s">
        <v>7</v>
      </c>
      <c r="F34" s="30"/>
    </row>
    <row r="35" spans="1:6" x14ac:dyDescent="0.2">
      <c r="A35" s="30"/>
      <c r="B35" s="31" t="s">
        <v>143</v>
      </c>
      <c r="C35" s="39" t="s">
        <v>8</v>
      </c>
      <c r="D35" s="39" t="s">
        <v>170</v>
      </c>
      <c r="E35" s="39" t="s">
        <v>192</v>
      </c>
      <c r="F35" s="30"/>
    </row>
    <row r="36" spans="1:6" x14ac:dyDescent="0.2">
      <c r="A36" s="30"/>
      <c r="B36" s="31" t="s">
        <v>144</v>
      </c>
      <c r="C36" s="39" t="s">
        <v>10</v>
      </c>
      <c r="D36" s="39" t="s">
        <v>171</v>
      </c>
      <c r="E36" s="39" t="s">
        <v>193</v>
      </c>
      <c r="F36" s="30"/>
    </row>
    <row r="37" spans="1:6" x14ac:dyDescent="0.2">
      <c r="A37" s="30"/>
      <c r="B37" s="31" t="s">
        <v>145</v>
      </c>
      <c r="C37" s="39" t="s">
        <v>48</v>
      </c>
      <c r="D37" s="39" t="s">
        <v>172</v>
      </c>
      <c r="E37" s="39" t="s">
        <v>194</v>
      </c>
      <c r="F37" s="30"/>
    </row>
    <row r="38" spans="1:6" x14ac:dyDescent="0.2">
      <c r="A38" s="30"/>
      <c r="B38" s="31" t="s">
        <v>146</v>
      </c>
      <c r="C38" s="39" t="s">
        <v>11</v>
      </c>
      <c r="D38" s="39" t="s">
        <v>173</v>
      </c>
      <c r="E38" s="39" t="s">
        <v>195</v>
      </c>
      <c r="F38" s="30"/>
    </row>
    <row r="39" spans="1:6" x14ac:dyDescent="0.2">
      <c r="A39" s="30"/>
      <c r="B39" s="31" t="s">
        <v>147</v>
      </c>
      <c r="C39" s="39" t="s">
        <v>12</v>
      </c>
      <c r="D39" s="39" t="s">
        <v>174</v>
      </c>
      <c r="E39" s="39" t="s">
        <v>196</v>
      </c>
      <c r="F39" s="30"/>
    </row>
    <row r="40" spans="1:6" x14ac:dyDescent="0.2">
      <c r="A40" s="30"/>
      <c r="B40" s="31" t="s">
        <v>148</v>
      </c>
      <c r="C40" s="39" t="s">
        <v>38</v>
      </c>
      <c r="D40" s="39" t="s">
        <v>175</v>
      </c>
      <c r="E40" s="39" t="s">
        <v>197</v>
      </c>
      <c r="F40" s="30"/>
    </row>
    <row r="41" spans="1:6" x14ac:dyDescent="0.2">
      <c r="A41" s="30"/>
      <c r="B41" s="35" t="s">
        <v>149</v>
      </c>
      <c r="C41" s="36" t="s">
        <v>14</v>
      </c>
      <c r="D41" s="36" t="s">
        <v>176</v>
      </c>
      <c r="E41" s="36" t="s">
        <v>198</v>
      </c>
      <c r="F41" s="30"/>
    </row>
    <row r="42" spans="1:6" x14ac:dyDescent="0.2">
      <c r="A42" s="30"/>
      <c r="B42" s="31" t="s">
        <v>150</v>
      </c>
      <c r="C42" s="39" t="s">
        <v>15</v>
      </c>
      <c r="D42" s="39" t="s">
        <v>177</v>
      </c>
      <c r="E42" s="39" t="s">
        <v>199</v>
      </c>
      <c r="F42" s="30"/>
    </row>
    <row r="43" spans="1:6" x14ac:dyDescent="0.2">
      <c r="A43" s="30"/>
      <c r="B43" s="31" t="s">
        <v>151</v>
      </c>
      <c r="C43" s="39" t="s">
        <v>16</v>
      </c>
      <c r="D43" s="39" t="s">
        <v>178</v>
      </c>
      <c r="E43" s="39" t="s">
        <v>200</v>
      </c>
      <c r="F43" s="30"/>
    </row>
    <row r="44" spans="1:6" x14ac:dyDescent="0.2">
      <c r="A44" s="30"/>
      <c r="B44" s="31" t="s">
        <v>152</v>
      </c>
      <c r="C44" s="39" t="s">
        <v>17</v>
      </c>
      <c r="D44" s="39" t="s">
        <v>179</v>
      </c>
      <c r="E44" s="39" t="s">
        <v>201</v>
      </c>
      <c r="F44" s="30"/>
    </row>
    <row r="45" spans="1:6" x14ac:dyDescent="0.2">
      <c r="A45" s="30"/>
      <c r="B45" s="31" t="s">
        <v>153</v>
      </c>
      <c r="C45" s="39" t="s">
        <v>18</v>
      </c>
      <c r="D45" s="39" t="s">
        <v>180</v>
      </c>
      <c r="E45" s="39" t="s">
        <v>202</v>
      </c>
      <c r="F45" s="30"/>
    </row>
    <row r="46" spans="1:6" x14ac:dyDescent="0.2">
      <c r="A46" s="30"/>
      <c r="B46" s="31" t="s">
        <v>154</v>
      </c>
      <c r="C46" s="39" t="s">
        <v>20</v>
      </c>
      <c r="D46" s="39" t="s">
        <v>225</v>
      </c>
      <c r="E46" s="39" t="s">
        <v>203</v>
      </c>
      <c r="F46" s="30"/>
    </row>
    <row r="47" spans="1:6" x14ac:dyDescent="0.2">
      <c r="A47" s="30"/>
      <c r="B47" s="31" t="s">
        <v>155</v>
      </c>
      <c r="C47" s="39" t="s">
        <v>21</v>
      </c>
      <c r="D47" s="39" t="s">
        <v>226</v>
      </c>
      <c r="E47" s="39" t="s">
        <v>204</v>
      </c>
      <c r="F47" s="30"/>
    </row>
    <row r="48" spans="1:6" x14ac:dyDescent="0.2">
      <c r="A48" s="30"/>
      <c r="B48" s="31" t="s">
        <v>156</v>
      </c>
      <c r="C48" s="39" t="s">
        <v>22</v>
      </c>
      <c r="D48" s="39" t="s">
        <v>226</v>
      </c>
      <c r="E48" s="39" t="s">
        <v>205</v>
      </c>
      <c r="F48" s="30"/>
    </row>
    <row r="49" spans="1:6" x14ac:dyDescent="0.2">
      <c r="A49" s="30"/>
      <c r="B49" s="31" t="s">
        <v>157</v>
      </c>
      <c r="C49" s="39" t="s">
        <v>23</v>
      </c>
      <c r="D49" s="39" t="s">
        <v>227</v>
      </c>
      <c r="E49" s="39" t="s">
        <v>206</v>
      </c>
      <c r="F49" s="30"/>
    </row>
    <row r="50" spans="1:6" x14ac:dyDescent="0.2">
      <c r="A50" s="30"/>
      <c r="B50" s="31" t="s">
        <v>158</v>
      </c>
      <c r="C50" s="39" t="s">
        <v>24</v>
      </c>
      <c r="D50" s="39" t="s">
        <v>181</v>
      </c>
      <c r="E50" s="39" t="s">
        <v>207</v>
      </c>
      <c r="F50" s="30"/>
    </row>
    <row r="51" spans="1:6" x14ac:dyDescent="0.2">
      <c r="A51" s="30"/>
      <c r="B51" s="31" t="s">
        <v>159</v>
      </c>
      <c r="C51" s="39" t="s">
        <v>25</v>
      </c>
      <c r="D51" s="39" t="s">
        <v>182</v>
      </c>
      <c r="E51" s="39" t="s">
        <v>208</v>
      </c>
      <c r="F51" s="30"/>
    </row>
    <row r="52" spans="1:6" x14ac:dyDescent="0.2">
      <c r="A52" s="30"/>
      <c r="B52" s="31" t="s">
        <v>160</v>
      </c>
      <c r="C52" s="39" t="s">
        <v>26</v>
      </c>
      <c r="D52" s="39" t="s">
        <v>183</v>
      </c>
      <c r="E52" s="39" t="s">
        <v>209</v>
      </c>
      <c r="F52" s="30"/>
    </row>
    <row r="53" spans="1:6" x14ac:dyDescent="0.2">
      <c r="A53" s="30"/>
      <c r="B53" s="31" t="s">
        <v>161</v>
      </c>
      <c r="C53" s="39" t="s">
        <v>27</v>
      </c>
      <c r="D53" s="39" t="s">
        <v>228</v>
      </c>
      <c r="E53" s="39" t="s">
        <v>210</v>
      </c>
      <c r="F53" s="30"/>
    </row>
    <row r="54" spans="1:6" x14ac:dyDescent="0.2">
      <c r="A54" s="30"/>
      <c r="B54" s="31" t="s">
        <v>162</v>
      </c>
      <c r="C54" s="39" t="s">
        <v>28</v>
      </c>
      <c r="D54" s="39" t="s">
        <v>184</v>
      </c>
      <c r="E54" s="39" t="s">
        <v>211</v>
      </c>
      <c r="F54" s="30"/>
    </row>
    <row r="55" spans="1:6" x14ac:dyDescent="0.2">
      <c r="A55" s="30"/>
      <c r="B55" s="31" t="s">
        <v>163</v>
      </c>
      <c r="C55" s="39" t="s">
        <v>29</v>
      </c>
      <c r="D55" s="39" t="s">
        <v>185</v>
      </c>
      <c r="E55" s="39" t="s">
        <v>212</v>
      </c>
      <c r="F55" s="30"/>
    </row>
    <row r="56" spans="1:6" x14ac:dyDescent="0.2">
      <c r="A56" s="30"/>
      <c r="B56" s="31" t="s">
        <v>164</v>
      </c>
      <c r="C56" s="39" t="s">
        <v>50</v>
      </c>
      <c r="D56" s="39" t="s">
        <v>186</v>
      </c>
      <c r="E56" s="39" t="s">
        <v>213</v>
      </c>
      <c r="F56" s="30"/>
    </row>
    <row r="57" spans="1:6" ht="25.5" x14ac:dyDescent="0.2">
      <c r="A57" s="30"/>
      <c r="B57" s="31" t="s">
        <v>165</v>
      </c>
      <c r="C57" s="39" t="s">
        <v>30</v>
      </c>
      <c r="D57" s="39" t="s">
        <v>187</v>
      </c>
      <c r="E57" s="39" t="s">
        <v>214</v>
      </c>
      <c r="F57" s="30"/>
    </row>
    <row r="58" spans="1:6" ht="25.5" x14ac:dyDescent="0.2">
      <c r="A58" s="30"/>
      <c r="B58" s="42" t="s">
        <v>236</v>
      </c>
      <c r="C58" s="39" t="s">
        <v>51</v>
      </c>
      <c r="D58" s="39" t="s">
        <v>188</v>
      </c>
      <c r="E58" s="39" t="s">
        <v>215</v>
      </c>
      <c r="F58" s="30"/>
    </row>
    <row r="59" spans="1:6" ht="25.5" x14ac:dyDescent="0.2">
      <c r="A59" s="30"/>
      <c r="B59" s="31" t="s">
        <v>166</v>
      </c>
      <c r="C59" s="39" t="s">
        <v>31</v>
      </c>
      <c r="D59" s="39" t="s">
        <v>229</v>
      </c>
      <c r="E59" s="39" t="s">
        <v>216</v>
      </c>
      <c r="F59" s="30"/>
    </row>
    <row r="60" spans="1:6" x14ac:dyDescent="0.2">
      <c r="A60" s="30"/>
      <c r="B60" s="31" t="s">
        <v>167</v>
      </c>
      <c r="C60" s="39" t="s">
        <v>53</v>
      </c>
      <c r="D60" s="39" t="s">
        <v>189</v>
      </c>
      <c r="E60" s="39" t="s">
        <v>217</v>
      </c>
      <c r="F60" s="30"/>
    </row>
    <row r="61" spans="1:6" x14ac:dyDescent="0.2">
      <c r="A61" s="30"/>
      <c r="B61" s="31" t="s">
        <v>168</v>
      </c>
      <c r="C61" s="39" t="s">
        <v>39</v>
      </c>
      <c r="D61" s="39" t="s">
        <v>230</v>
      </c>
      <c r="E61" s="39" t="s">
        <v>218</v>
      </c>
      <c r="F61" s="30"/>
    </row>
    <row r="62" spans="1:6" x14ac:dyDescent="0.2">
      <c r="A62" s="30"/>
      <c r="B62" s="31" t="s">
        <v>169</v>
      </c>
      <c r="C62" s="39" t="s">
        <v>32</v>
      </c>
      <c r="D62" s="39" t="s">
        <v>231</v>
      </c>
      <c r="E62" s="39" t="s">
        <v>219</v>
      </c>
      <c r="F62" s="30"/>
    </row>
    <row r="63" spans="1:6" x14ac:dyDescent="0.2">
      <c r="A63" s="30"/>
      <c r="B63" s="30"/>
      <c r="C63" s="38"/>
      <c r="D63" s="38"/>
      <c r="E63" s="38"/>
      <c r="F63" s="30"/>
    </row>
    <row r="64" spans="1:6" ht="38.25" x14ac:dyDescent="0.2">
      <c r="A64" s="32"/>
      <c r="B64" s="31" t="s">
        <v>105</v>
      </c>
      <c r="C64" s="39" t="s">
        <v>33</v>
      </c>
      <c r="D64" s="39" t="s">
        <v>109</v>
      </c>
      <c r="E64" s="39" t="s">
        <v>110</v>
      </c>
      <c r="F64" s="38"/>
    </row>
    <row r="65" spans="1:6" ht="38.25" x14ac:dyDescent="0.2">
      <c r="A65" s="30"/>
      <c r="B65" s="31" t="s">
        <v>106</v>
      </c>
      <c r="C65" s="39" t="s">
        <v>34</v>
      </c>
      <c r="D65" s="39" t="s">
        <v>121</v>
      </c>
      <c r="E65" s="39" t="s">
        <v>112</v>
      </c>
      <c r="F65" s="38"/>
    </row>
    <row r="66" spans="1:6" ht="51" x14ac:dyDescent="0.2">
      <c r="A66" s="30"/>
      <c r="B66" s="31" t="s">
        <v>107</v>
      </c>
      <c r="C66" s="39" t="s">
        <v>35</v>
      </c>
      <c r="D66" s="39" t="s">
        <v>122</v>
      </c>
      <c r="E66" s="39" t="s">
        <v>119</v>
      </c>
      <c r="F66" s="38"/>
    </row>
    <row r="67" spans="1:6" ht="38.25" x14ac:dyDescent="0.2">
      <c r="A67" s="30"/>
      <c r="B67" s="31" t="s">
        <v>108</v>
      </c>
      <c r="C67" s="39" t="s">
        <v>36</v>
      </c>
      <c r="D67" s="39" t="s">
        <v>123</v>
      </c>
      <c r="E67" s="39" t="s">
        <v>120</v>
      </c>
      <c r="F67" s="38"/>
    </row>
    <row r="68" spans="1:6" ht="25.5" x14ac:dyDescent="0.2">
      <c r="A68" s="30"/>
      <c r="B68" s="31" t="s">
        <v>111</v>
      </c>
      <c r="C68" s="39" t="s">
        <v>237</v>
      </c>
      <c r="D68" s="39" t="s">
        <v>238</v>
      </c>
      <c r="E68" s="39" t="s">
        <v>239</v>
      </c>
      <c r="F68" s="38"/>
    </row>
    <row r="69" spans="1:6" x14ac:dyDescent="0.2">
      <c r="A69" s="30"/>
      <c r="B69" s="30"/>
      <c r="C69" s="30"/>
      <c r="D69" s="30"/>
      <c r="E69" s="30"/>
      <c r="F69" s="38"/>
    </row>
    <row r="70" spans="1:6" x14ac:dyDescent="0.2">
      <c r="A70" s="30" t="s">
        <v>67</v>
      </c>
      <c r="B70" s="31" t="s">
        <v>113</v>
      </c>
      <c r="C70" s="39" t="s">
        <v>37</v>
      </c>
      <c r="D70" s="39" t="s">
        <v>114</v>
      </c>
      <c r="E70" s="36" t="s">
        <v>232</v>
      </c>
      <c r="F70" s="30"/>
    </row>
    <row r="71" spans="1:6" x14ac:dyDescent="0.2">
      <c r="A71" s="30" t="s">
        <v>64</v>
      </c>
      <c r="B71" s="40" t="s">
        <v>115</v>
      </c>
      <c r="C71" s="41" t="s">
        <v>243</v>
      </c>
      <c r="D71" s="41" t="s">
        <v>244</v>
      </c>
      <c r="E71" s="41" t="s">
        <v>245</v>
      </c>
      <c r="F71" s="30"/>
    </row>
    <row r="72" spans="1:6" x14ac:dyDescent="0.2">
      <c r="A72" s="30"/>
      <c r="B72" s="30"/>
      <c r="C72" s="38"/>
      <c r="D72" s="38"/>
      <c r="E72" s="38"/>
      <c r="F72" s="30"/>
    </row>
    <row r="73" spans="1:6" x14ac:dyDescent="0.2">
      <c r="A73" s="32"/>
      <c r="B73" s="33"/>
      <c r="C73" s="34"/>
      <c r="D73" s="34"/>
      <c r="E73" s="34"/>
      <c r="F73" s="30"/>
    </row>
    <row r="87" spans="7:7" x14ac:dyDescent="0.2">
      <c r="G87" s="35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1029</Benutzerdefinierte_x0020_ID>
    <Titel_RM xmlns="9d1f6504-c754-4527-a358-047ce8521f96">Enquista da structura da la populaziun – detagls concernent la religiun Grischun, 2024</Titel_RM>
    <Titel_DE xmlns="9d1f6504-c754-4527-a358-047ce8521f96">Strukturerhebung Bevölkerung - Details Religion Graubünden, 2024</Titel_DE>
    <PublishingExpirationDate xmlns="http://schemas.microsoft.com/sharepoint/v3" xsi:nil="true"/>
    <Kategorie xmlns="9d1f6504-c754-4527-a358-047ce8521f96">Sprache, Religion</Kategorie>
    <PublishingStartDate xmlns="http://schemas.microsoft.com/sharepoint/v3" xsi:nil="true"/>
    <Titel_IT xmlns="9d1f6504-c754-4527-a358-047ce8521f96">Rilevazione strutturale della popolazione - dettagli religione nei Grigioni, 2024</Titel_IT>
  </documentManagement>
</p:properties>
</file>

<file path=customXml/itemProps1.xml><?xml version="1.0" encoding="utf-8"?>
<ds:datastoreItem xmlns:ds="http://schemas.openxmlformats.org/officeDocument/2006/customXml" ds:itemID="{669D390D-3589-41B5-B782-BB2120B8CF45}"/>
</file>

<file path=customXml/itemProps2.xml><?xml version="1.0" encoding="utf-8"?>
<ds:datastoreItem xmlns:ds="http://schemas.openxmlformats.org/officeDocument/2006/customXml" ds:itemID="{C4EEE403-CD3A-4665-B395-FF496BB2458B}"/>
</file>

<file path=customXml/itemProps3.xml><?xml version="1.0" encoding="utf-8"?>
<ds:datastoreItem xmlns:ds="http://schemas.openxmlformats.org/officeDocument/2006/customXml" ds:itemID="{99633E50-16AD-479D-932B-CE392BE6B5C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2024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Luzius.Stricker@awt.gr.ch</dc:creator>
  <cp:lastModifiedBy>Monstein Urs (AWT GR)</cp:lastModifiedBy>
  <dcterms:created xsi:type="dcterms:W3CDTF">2017-05-04T09:10:20Z</dcterms:created>
  <dcterms:modified xsi:type="dcterms:W3CDTF">2026-01-28T08:44:18Z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2026-01-20T08:57:42Z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cdf5e984-259e-4cc1-b373-63a0d65893f0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